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2" tabRatio="908" firstSheet="11" activeTab="1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B32" i="3"/>
  <c r="P2751" i="35"/>
  <c r="H2603"/>
  <c r="Q2135"/>
  <c r="R1726"/>
  <c r="Q12" i="36"/>
  <c r="Q1727" i="35" s="1"/>
  <c r="R1727"/>
  <c r="Q13" i="36"/>
  <c r="Q1728" i="35" s="1"/>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P2762" s="1"/>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P2727" s="1"/>
  <c r="P2719" s="1"/>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P2691" s="1"/>
  <c r="O2692"/>
  <c r="R2692" s="1"/>
  <c r="P2685"/>
  <c r="O2685"/>
  <c r="R2685" s="1"/>
  <c r="P2684"/>
  <c r="P2683" s="1"/>
  <c r="O2684"/>
  <c r="P2675"/>
  <c r="O2675"/>
  <c r="P2674"/>
  <c r="O2674"/>
  <c r="L2674" s="1"/>
  <c r="P2673"/>
  <c r="O2673"/>
  <c r="P2660"/>
  <c r="O2660"/>
  <c r="P2659"/>
  <c r="O2659"/>
  <c r="O2658" s="1"/>
  <c r="P2638"/>
  <c r="O2638"/>
  <c r="L2638" s="1"/>
  <c r="M2632"/>
  <c r="K2627"/>
  <c r="I2627"/>
  <c r="P2630"/>
  <c r="O2630"/>
  <c r="P2629"/>
  <c r="O2629"/>
  <c r="L2629" s="1"/>
  <c r="P2628"/>
  <c r="O2628"/>
  <c r="L2628" s="1"/>
  <c r="P2626"/>
  <c r="O2626"/>
  <c r="P2625"/>
  <c r="O2625"/>
  <c r="A2656"/>
  <c r="A2636"/>
  <c r="A2655"/>
  <c r="A2654"/>
  <c r="A2653"/>
  <c r="A2652"/>
  <c r="A2634"/>
  <c r="A2650"/>
  <c r="A2649"/>
  <c r="A2622"/>
  <c r="A2621"/>
  <c r="A2619"/>
  <c r="A2618"/>
  <c r="P2616"/>
  <c r="O2616"/>
  <c r="M2616" s="1"/>
  <c r="P2615"/>
  <c r="O2615"/>
  <c r="M2615" s="1"/>
  <c r="P2614"/>
  <c r="O2614"/>
  <c r="P2613"/>
  <c r="O2613"/>
  <c r="M2613" s="1"/>
  <c r="O2603"/>
  <c r="P2603"/>
  <c r="O2604"/>
  <c r="P2604"/>
  <c r="O2602"/>
  <c r="P2602"/>
  <c r="H2605"/>
  <c r="H2604"/>
  <c r="J2603"/>
  <c r="O2608"/>
  <c r="M2608" s="1"/>
  <c r="P2608"/>
  <c r="O2609"/>
  <c r="P2609"/>
  <c r="O2610"/>
  <c r="M2610" s="1"/>
  <c r="P2610"/>
  <c r="O2611"/>
  <c r="P2611"/>
  <c r="O2601"/>
  <c r="P2601"/>
  <c r="P2607"/>
  <c r="O2607"/>
  <c r="M2607" s="1"/>
  <c r="P2606"/>
  <c r="O2606"/>
  <c r="P2605"/>
  <c r="O2605"/>
  <c r="M2605" s="1"/>
  <c r="P2600"/>
  <c r="O2600"/>
  <c r="P2599"/>
  <c r="O2599"/>
  <c r="M2599" s="1"/>
  <c r="P2598"/>
  <c r="O2598"/>
  <c r="M2598" s="1"/>
  <c r="P2595"/>
  <c r="O2595"/>
  <c r="M2595" s="1"/>
  <c r="P2594"/>
  <c r="O2594"/>
  <c r="P2593"/>
  <c r="O2593"/>
  <c r="M2593" s="1"/>
  <c r="P2591"/>
  <c r="O2591"/>
  <c r="M2591" s="1"/>
  <c r="P2590"/>
  <c r="O2590"/>
  <c r="M2590" s="1"/>
  <c r="P2589"/>
  <c r="O2589"/>
  <c r="O2576"/>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O2547" s="1"/>
  <c r="P2533"/>
  <c r="O2533"/>
  <c r="P2523"/>
  <c r="O2523"/>
  <c r="L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O2500" s="1"/>
  <c r="P2502"/>
  <c r="P2500" s="1"/>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J385" i="35" s="1"/>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s="1"/>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P1846" s="1"/>
  <c r="O1844"/>
  <c r="N1844"/>
  <c r="M1844"/>
  <c r="M1846" s="1"/>
  <c r="L1844"/>
  <c r="K1844"/>
  <c r="K1846" s="1"/>
  <c r="J1844"/>
  <c r="I1844"/>
  <c r="H1844"/>
  <c r="H1846" s="1"/>
  <c r="G1844"/>
  <c r="G1846" s="1"/>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P1835" s="1"/>
  <c r="O1833"/>
  <c r="O1835" s="1"/>
  <c r="N1833"/>
  <c r="M1833"/>
  <c r="M1835" s="1"/>
  <c r="L1833"/>
  <c r="L1835" s="1"/>
  <c r="K1833"/>
  <c r="J1833"/>
  <c r="I1833"/>
  <c r="I1835" s="1"/>
  <c r="H1833"/>
  <c r="H1835" s="1"/>
  <c r="G1833"/>
  <c r="G1835" s="1"/>
  <c r="P1829"/>
  <c r="O1829"/>
  <c r="N1829"/>
  <c r="M1829"/>
  <c r="L1829"/>
  <c r="K1829"/>
  <c r="J1829"/>
  <c r="I1829"/>
  <c r="H1829"/>
  <c r="G1829"/>
  <c r="P1828"/>
  <c r="O1828"/>
  <c r="N1828"/>
  <c r="M1828"/>
  <c r="L1828"/>
  <c r="K1828"/>
  <c r="J1828"/>
  <c r="I1828"/>
  <c r="H1828"/>
  <c r="G1828"/>
  <c r="H1822"/>
  <c r="I1822"/>
  <c r="J1822"/>
  <c r="K1822"/>
  <c r="L1822"/>
  <c r="M1822"/>
  <c r="N1822"/>
  <c r="O1822"/>
  <c r="P1822"/>
  <c r="H1823"/>
  <c r="H1824" s="1"/>
  <c r="I1823"/>
  <c r="J1823"/>
  <c r="K1823"/>
  <c r="L1823"/>
  <c r="L1824" s="1"/>
  <c r="M1823"/>
  <c r="N1823"/>
  <c r="O1823"/>
  <c r="P1823"/>
  <c r="P1824" s="1"/>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Y1727" s="1"/>
  <c r="D1727"/>
  <c r="E1727"/>
  <c r="F1727"/>
  <c r="G1727"/>
  <c r="H1727"/>
  <c r="I1727"/>
  <c r="J1727"/>
  <c r="B1728"/>
  <c r="C1728"/>
  <c r="D1728"/>
  <c r="E1728"/>
  <c r="F1728"/>
  <c r="G1728"/>
  <c r="H1728"/>
  <c r="I1728"/>
  <c r="J1728"/>
  <c r="B1729"/>
  <c r="C1729"/>
  <c r="CB1729" s="1"/>
  <c r="D1729"/>
  <c r="E1729"/>
  <c r="F1729"/>
  <c r="G1729"/>
  <c r="H1729"/>
  <c r="I1729"/>
  <c r="K1729" s="1"/>
  <c r="L1729" s="1"/>
  <c r="J1729"/>
  <c r="B1730"/>
  <c r="C1730"/>
  <c r="D1730"/>
  <c r="E1730"/>
  <c r="F1730"/>
  <c r="G1730"/>
  <c r="H1730"/>
  <c r="I1730"/>
  <c r="J1730"/>
  <c r="B1731"/>
  <c r="C1731"/>
  <c r="T1731" s="1"/>
  <c r="D1731"/>
  <c r="E1731"/>
  <c r="F1731"/>
  <c r="G1731"/>
  <c r="H1731"/>
  <c r="I1731"/>
  <c r="J1731"/>
  <c r="B1732"/>
  <c r="C1732"/>
  <c r="D1732"/>
  <c r="E1732"/>
  <c r="F1732"/>
  <c r="G1732"/>
  <c r="H1732"/>
  <c r="I1732"/>
  <c r="J1732"/>
  <c r="B1733"/>
  <c r="C1733"/>
  <c r="BV1733" s="1"/>
  <c r="D1733"/>
  <c r="E1733"/>
  <c r="F1733"/>
  <c r="G1733"/>
  <c r="H1733"/>
  <c r="I1733"/>
  <c r="J1733"/>
  <c r="B1734"/>
  <c r="C1734"/>
  <c r="D1734"/>
  <c r="E1734"/>
  <c r="F1734"/>
  <c r="G1734"/>
  <c r="H1734"/>
  <c r="I1734"/>
  <c r="J1734"/>
  <c r="B1735"/>
  <c r="C1735"/>
  <c r="V1735" s="1"/>
  <c r="D1735"/>
  <c r="E1735"/>
  <c r="F1735"/>
  <c r="G1735"/>
  <c r="H1735"/>
  <c r="I1735"/>
  <c r="J1735"/>
  <c r="B1736"/>
  <c r="C1736"/>
  <c r="D1736"/>
  <c r="E1736"/>
  <c r="F1736"/>
  <c r="G1736"/>
  <c r="H1736"/>
  <c r="I1736"/>
  <c r="J1736"/>
  <c r="B1737"/>
  <c r="C1737"/>
  <c r="Y1737" s="1"/>
  <c r="D1737"/>
  <c r="E1737"/>
  <c r="F1737"/>
  <c r="G1737"/>
  <c r="H1737"/>
  <c r="I1737"/>
  <c r="K1737" s="1"/>
  <c r="L1737" s="1"/>
  <c r="J1737"/>
  <c r="B1738"/>
  <c r="C1738"/>
  <c r="D1738"/>
  <c r="E1738"/>
  <c r="F1738"/>
  <c r="G1738"/>
  <c r="H1738"/>
  <c r="I1738"/>
  <c r="J1738"/>
  <c r="B1739"/>
  <c r="C1739"/>
  <c r="CV1739" s="1"/>
  <c r="D1739"/>
  <c r="E1739"/>
  <c r="F1739"/>
  <c r="G1739"/>
  <c r="H1739"/>
  <c r="I1739"/>
  <c r="J1739"/>
  <c r="B1740"/>
  <c r="C1740"/>
  <c r="D1740"/>
  <c r="E1740"/>
  <c r="F1740"/>
  <c r="G1740"/>
  <c r="H1740"/>
  <c r="I1740"/>
  <c r="J1740"/>
  <c r="B1741"/>
  <c r="C1741"/>
  <c r="BV1741" s="1"/>
  <c r="D1741"/>
  <c r="E1741"/>
  <c r="F1741"/>
  <c r="G1741"/>
  <c r="H1741"/>
  <c r="I1741"/>
  <c r="J1741"/>
  <c r="B1742"/>
  <c r="C1742"/>
  <c r="D1742"/>
  <c r="E1742"/>
  <c r="F1742"/>
  <c r="G1742"/>
  <c r="H1742"/>
  <c r="I1742"/>
  <c r="J1742"/>
  <c r="B1743"/>
  <c r="C1743"/>
  <c r="AA1743" s="1"/>
  <c r="D1743"/>
  <c r="E1743"/>
  <c r="F1743"/>
  <c r="G1743"/>
  <c r="H1743"/>
  <c r="I1743"/>
  <c r="K1743" s="1"/>
  <c r="L1743" s="1"/>
  <c r="J1743"/>
  <c r="B1744"/>
  <c r="C1744"/>
  <c r="D1744"/>
  <c r="E1744"/>
  <c r="F1744"/>
  <c r="G1744"/>
  <c r="H1744"/>
  <c r="I1744"/>
  <c r="J1744"/>
  <c r="B1745"/>
  <c r="C1745"/>
  <c r="CV1745" s="1"/>
  <c r="D1745"/>
  <c r="E1745"/>
  <c r="F1745"/>
  <c r="G1745"/>
  <c r="H1745"/>
  <c r="I1745"/>
  <c r="K1745" s="1"/>
  <c r="L1745" s="1"/>
  <c r="J1745"/>
  <c r="B1746"/>
  <c r="C1746"/>
  <c r="D1746"/>
  <c r="E1746"/>
  <c r="F1746"/>
  <c r="G1746"/>
  <c r="H1746"/>
  <c r="I1746"/>
  <c r="J1746"/>
  <c r="B1747"/>
  <c r="C1747"/>
  <c r="T1747" s="1"/>
  <c r="D1747"/>
  <c r="E1747"/>
  <c r="F1747"/>
  <c r="G1747"/>
  <c r="H1747"/>
  <c r="I1747"/>
  <c r="J1747"/>
  <c r="B1748"/>
  <c r="C1748"/>
  <c r="D1748"/>
  <c r="E1748"/>
  <c r="F1748"/>
  <c r="G1748"/>
  <c r="H1748"/>
  <c r="I1748"/>
  <c r="J1748"/>
  <c r="B1749"/>
  <c r="C1749"/>
  <c r="BV1749" s="1"/>
  <c r="D1749"/>
  <c r="E1749"/>
  <c r="F1749"/>
  <c r="G1749"/>
  <c r="H1749"/>
  <c r="I1749"/>
  <c r="K1749" s="1"/>
  <c r="L1749" s="1"/>
  <c r="J1749"/>
  <c r="B1750"/>
  <c r="C1750"/>
  <c r="D1750"/>
  <c r="E1750"/>
  <c r="F1750"/>
  <c r="G1750"/>
  <c r="H1750"/>
  <c r="I1750"/>
  <c r="J1750"/>
  <c r="B1751"/>
  <c r="C1751"/>
  <c r="Y1751" s="1"/>
  <c r="D1751"/>
  <c r="E1751"/>
  <c r="F1751"/>
  <c r="G1751"/>
  <c r="H1751"/>
  <c r="I1751"/>
  <c r="J1751"/>
  <c r="B1752"/>
  <c r="C1752"/>
  <c r="D1752"/>
  <c r="E1752"/>
  <c r="F1752"/>
  <c r="G1752"/>
  <c r="H1752"/>
  <c r="I1752"/>
  <c r="J1752"/>
  <c r="B1753"/>
  <c r="C1753"/>
  <c r="CV1753" s="1"/>
  <c r="D1753"/>
  <c r="E1753"/>
  <c r="F1753"/>
  <c r="G1753"/>
  <c r="H1753"/>
  <c r="I1753"/>
  <c r="J1753"/>
  <c r="B1754"/>
  <c r="C1754"/>
  <c r="D1754"/>
  <c r="E1754"/>
  <c r="F1754"/>
  <c r="G1754"/>
  <c r="H1754"/>
  <c r="I1754"/>
  <c r="J1754"/>
  <c r="B1755"/>
  <c r="C1755"/>
  <c r="Z1755" s="1"/>
  <c r="D1755"/>
  <c r="E1755"/>
  <c r="F1755"/>
  <c r="G1755"/>
  <c r="H1755"/>
  <c r="I1755"/>
  <c r="J1755"/>
  <c r="B1756"/>
  <c r="C1756"/>
  <c r="D1756"/>
  <c r="E1756"/>
  <c r="F1756"/>
  <c r="G1756"/>
  <c r="H1756"/>
  <c r="I1756"/>
  <c r="J1756"/>
  <c r="B1757"/>
  <c r="C1757"/>
  <c r="BV1757" s="1"/>
  <c r="D1757"/>
  <c r="E1757"/>
  <c r="F1757"/>
  <c r="G1757"/>
  <c r="H1757"/>
  <c r="I1757"/>
  <c r="K1757" s="1"/>
  <c r="L1757" s="1"/>
  <c r="J1757"/>
  <c r="B1758"/>
  <c r="C1758"/>
  <c r="D1758"/>
  <c r="E1758"/>
  <c r="F1758"/>
  <c r="G1758"/>
  <c r="H1758"/>
  <c r="I1758"/>
  <c r="J1758"/>
  <c r="B1759"/>
  <c r="C1759"/>
  <c r="AA1759" s="1"/>
  <c r="D1759"/>
  <c r="E1759"/>
  <c r="F1759"/>
  <c r="G1759"/>
  <c r="H1759"/>
  <c r="I1759"/>
  <c r="J1759"/>
  <c r="B1760"/>
  <c r="C1760"/>
  <c r="D1760"/>
  <c r="E1760"/>
  <c r="F1760"/>
  <c r="G1760"/>
  <c r="H1760"/>
  <c r="I1760"/>
  <c r="J1760"/>
  <c r="B1761"/>
  <c r="C1761"/>
  <c r="CV1761" s="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A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A1551" s="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M1521"/>
  <c r="M1523" s="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M1519"/>
  <c r="H49" i="3"/>
  <c r="J154" i="15" s="1"/>
  <c r="J1652" i="35"/>
  <c r="O1614"/>
  <c r="O1606"/>
  <c r="O1601"/>
  <c r="O1595"/>
  <c r="E1588"/>
  <c r="O1584"/>
  <c r="O1571"/>
  <c r="O1565"/>
  <c r="O1553"/>
  <c r="O1543"/>
  <c r="O1537"/>
  <c r="E1531"/>
  <c r="F1531" s="1"/>
  <c r="E1530"/>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631"/>
  <c r="P2624" s="1"/>
  <c r="P2771"/>
  <c r="O2631"/>
  <c r="O2624" s="1"/>
  <c r="O2683"/>
  <c r="O2762"/>
  <c r="M2786"/>
  <c r="R2764"/>
  <c r="R2751"/>
  <c r="L2751"/>
  <c r="R2735"/>
  <c r="L2735"/>
  <c r="R2733"/>
  <c r="L2733"/>
  <c r="R2731"/>
  <c r="L2731"/>
  <c r="R2729"/>
  <c r="L2729"/>
  <c r="L2726"/>
  <c r="L2721"/>
  <c r="L2720"/>
  <c r="L2719"/>
  <c r="L2705"/>
  <c r="L2692"/>
  <c r="L2685"/>
  <c r="L2675"/>
  <c r="A2671"/>
  <c r="A2670"/>
  <c r="L2668"/>
  <c r="R2659"/>
  <c r="L2630"/>
  <c r="L2625"/>
  <c r="G2625"/>
  <c r="M2614"/>
  <c r="M2611"/>
  <c r="M2609"/>
  <c r="M2601"/>
  <c r="M2600"/>
  <c r="M2594"/>
  <c r="M2589"/>
  <c r="M2576"/>
  <c r="L2549"/>
  <c r="L2548"/>
  <c r="L2534"/>
  <c r="R2523"/>
  <c r="A2493"/>
  <c r="O207" i="11"/>
  <c r="A2793" i="35"/>
  <c r="A2792"/>
  <c r="A2049"/>
  <c r="A2036"/>
  <c r="A2035"/>
  <c r="A2034"/>
  <c r="F2013"/>
  <c r="F2033" s="1"/>
  <c r="E2013"/>
  <c r="E2033" s="1"/>
  <c r="D2013"/>
  <c r="D2033" s="1"/>
  <c r="C2013"/>
  <c r="C2033" s="1"/>
  <c r="B2013"/>
  <c r="B2033" s="1"/>
  <c r="F2017"/>
  <c r="E2017"/>
  <c r="D2017"/>
  <c r="C2017"/>
  <c r="B2017"/>
  <c r="A1962"/>
  <c r="A1997" s="1"/>
  <c r="A2032" s="1"/>
  <c r="A1961"/>
  <c r="A1996"/>
  <c r="A2031" s="1"/>
  <c r="A1925"/>
  <c r="A1960" s="1"/>
  <c r="A1995" s="1"/>
  <c r="A2030" s="1"/>
  <c r="A1924"/>
  <c r="A1959" s="1"/>
  <c r="A1994" s="1"/>
  <c r="A2029" s="1"/>
  <c r="A1923"/>
  <c r="A1958" s="1"/>
  <c r="A1993" s="1"/>
  <c r="A2028" s="1"/>
  <c r="A1922"/>
  <c r="A1957" s="1"/>
  <c r="A1992" s="1"/>
  <c r="A2027" s="1"/>
  <c r="C1901"/>
  <c r="D1901"/>
  <c r="E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D1902"/>
  <c r="D1910" s="1"/>
  <c r="D1921" s="1"/>
  <c r="C1902"/>
  <c r="C1910" s="1"/>
  <c r="C1921" s="1"/>
  <c r="B1902"/>
  <c r="B1903" s="1"/>
  <c r="B1904" s="1"/>
  <c r="B1905"/>
  <c r="B1908" s="1"/>
  <c r="B1906"/>
  <c r="B1907"/>
  <c r="B1909"/>
  <c r="D1909"/>
  <c r="C1909"/>
  <c r="D1907"/>
  <c r="C1907"/>
  <c r="K1906"/>
  <c r="J1906"/>
  <c r="I1906"/>
  <c r="H1906"/>
  <c r="G1906"/>
  <c r="F1906"/>
  <c r="E1906"/>
  <c r="D1906"/>
  <c r="C1906"/>
  <c r="K1905"/>
  <c r="J1905"/>
  <c r="I1905"/>
  <c r="H1905"/>
  <c r="G1905"/>
  <c r="F1905"/>
  <c r="E1905"/>
  <c r="D1905"/>
  <c r="C1905"/>
  <c r="D1903"/>
  <c r="D1904" s="1"/>
  <c r="C1903"/>
  <c r="C1904" s="1"/>
  <c r="K1895"/>
  <c r="K1894"/>
  <c r="K1893"/>
  <c r="A1889"/>
  <c r="K1859"/>
  <c r="T1739"/>
  <c r="T1755"/>
  <c r="Y1731"/>
  <c r="Y1743"/>
  <c r="Y1759"/>
  <c r="AI1738"/>
  <c r="AI1754"/>
  <c r="BR1725"/>
  <c r="BR1726"/>
  <c r="BR1727"/>
  <c r="BR1730"/>
  <c r="BR1733"/>
  <c r="BR1734"/>
  <c r="BR1735"/>
  <c r="BR1738"/>
  <c r="BR1741"/>
  <c r="BR1742"/>
  <c r="BR1743"/>
  <c r="BR1746"/>
  <c r="BR1749"/>
  <c r="BR1750"/>
  <c r="BR1751"/>
  <c r="BR1754"/>
  <c r="BR1757"/>
  <c r="BR1758"/>
  <c r="BR1759"/>
  <c r="BR1762"/>
  <c r="U1730"/>
  <c r="U1746"/>
  <c r="U1762"/>
  <c r="Z1734"/>
  <c r="Z1750"/>
  <c r="Z1759"/>
  <c r="AJ1730"/>
  <c r="AJ1738"/>
  <c r="AJ1746"/>
  <c r="AJ1752"/>
  <c r="AJ1759"/>
  <c r="BS1726"/>
  <c r="BS1729"/>
  <c r="BS1730"/>
  <c r="BS1731"/>
  <c r="BS1734"/>
  <c r="BS1737"/>
  <c r="BS1738"/>
  <c r="BS1739"/>
  <c r="BS1742"/>
  <c r="BS1745"/>
  <c r="BS1746"/>
  <c r="BS1747"/>
  <c r="BS1750"/>
  <c r="BS1753"/>
  <c r="BS1754"/>
  <c r="BS1755"/>
  <c r="BS1758"/>
  <c r="BS1761"/>
  <c r="BS1762"/>
  <c r="V1726"/>
  <c r="V1731"/>
  <c r="V1739"/>
  <c r="V1746"/>
  <c r="V1754"/>
  <c r="V1762"/>
  <c r="AA1731"/>
  <c r="AA1739"/>
  <c r="AA1747"/>
  <c r="AA1755"/>
  <c r="AA1762"/>
  <c r="AK1730"/>
  <c r="AK1738"/>
  <c r="AK1743"/>
  <c r="AK1751"/>
  <c r="AK1759"/>
  <c r="BT1726"/>
  <c r="BT1729"/>
  <c r="BT1730"/>
  <c r="BT1731"/>
  <c r="BT1734"/>
  <c r="BT1737"/>
  <c r="BT1738"/>
  <c r="BT1739"/>
  <c r="BT1742"/>
  <c r="BT1745"/>
  <c r="BT1746"/>
  <c r="BT1747"/>
  <c r="BT1750"/>
  <c r="BT1753"/>
  <c r="BT1754"/>
  <c r="BT1755"/>
  <c r="BT1758"/>
  <c r="BT1761"/>
  <c r="BT1762"/>
  <c r="W1726"/>
  <c r="W1734"/>
  <c r="W1742"/>
  <c r="W1749"/>
  <c r="W1754"/>
  <c r="W1762"/>
  <c r="AB1731"/>
  <c r="AB1738"/>
  <c r="AB1746"/>
  <c r="AB1754"/>
  <c r="AB1762"/>
  <c r="AL1730"/>
  <c r="AL1738"/>
  <c r="AL1743"/>
  <c r="AL1751"/>
  <c r="AL1759"/>
  <c r="BU1726"/>
  <c r="BU1729"/>
  <c r="BU1730"/>
  <c r="BU1731"/>
  <c r="BU1734"/>
  <c r="BU1737"/>
  <c r="BU1738"/>
  <c r="BU1739"/>
  <c r="BU1742"/>
  <c r="BU1745"/>
  <c r="BU1746"/>
  <c r="BU1747"/>
  <c r="BU1750"/>
  <c r="BU1753"/>
  <c r="BU1754"/>
  <c r="BU1755"/>
  <c r="BU1758"/>
  <c r="BU1761"/>
  <c r="BU1762"/>
  <c r="X1726"/>
  <c r="X1734"/>
  <c r="X1742"/>
  <c r="X1747"/>
  <c r="X1755"/>
  <c r="AC1726"/>
  <c r="AC1734"/>
  <c r="AC1742"/>
  <c r="AC1750"/>
  <c r="AC1758"/>
  <c r="AM1727"/>
  <c r="AM1734"/>
  <c r="AM1742"/>
  <c r="AM1750"/>
  <c r="AM1758"/>
  <c r="BV1726"/>
  <c r="BV1730"/>
  <c r="BV1734"/>
  <c r="BV1738"/>
  <c r="BV1742"/>
  <c r="BV1746"/>
  <c r="BV1750"/>
  <c r="BV1754"/>
  <c r="BV1758"/>
  <c r="BV1762"/>
  <c r="N1873"/>
  <c r="P1849"/>
  <c r="O1849"/>
  <c r="N1849"/>
  <c r="M1849"/>
  <c r="L1849"/>
  <c r="K1849"/>
  <c r="J1849"/>
  <c r="I1849"/>
  <c r="H1849"/>
  <c r="G1849"/>
  <c r="O1846"/>
  <c r="L1846"/>
  <c r="I1846"/>
  <c r="P1838"/>
  <c r="O1838"/>
  <c r="N1838"/>
  <c r="M1838"/>
  <c r="L1838"/>
  <c r="K1838"/>
  <c r="J1838"/>
  <c r="I1838"/>
  <c r="H1838"/>
  <c r="G1838"/>
  <c r="K1835"/>
  <c r="P1827"/>
  <c r="O1827"/>
  <c r="N1827"/>
  <c r="M1827"/>
  <c r="L1827"/>
  <c r="K1827"/>
  <c r="J1827"/>
  <c r="I1827"/>
  <c r="H1827"/>
  <c r="G1827"/>
  <c r="O1824"/>
  <c r="K1725"/>
  <c r="L1725" s="1"/>
  <c r="K1733"/>
  <c r="L1733" s="1"/>
  <c r="K1741"/>
  <c r="L1741" s="1"/>
  <c r="K1747"/>
  <c r="L1747" s="1"/>
  <c r="K1753"/>
  <c r="L1753" s="1"/>
  <c r="K1761"/>
  <c r="L1761" s="1"/>
  <c r="BW1731"/>
  <c r="BW1739"/>
  <c r="BW1747"/>
  <c r="BW1755"/>
  <c r="CB1726"/>
  <c r="CB1731"/>
  <c r="CB1739"/>
  <c r="CB1747"/>
  <c r="CB1755"/>
  <c r="CL1726"/>
  <c r="CL1733"/>
  <c r="CL1739"/>
  <c r="CL1747"/>
  <c r="CL1755"/>
  <c r="CL1762"/>
  <c r="CV1726"/>
  <c r="CV1727"/>
  <c r="CV1730"/>
  <c r="CV1733"/>
  <c r="CV1734"/>
  <c r="CV1735"/>
  <c r="CV1738"/>
  <c r="CV1741"/>
  <c r="CV1742"/>
  <c r="CV1743"/>
  <c r="CV1746"/>
  <c r="CV1749"/>
  <c r="CV1750"/>
  <c r="CV1751"/>
  <c r="CV1754"/>
  <c r="CV1757"/>
  <c r="CV1758"/>
  <c r="CV1759"/>
  <c r="CV1762"/>
  <c r="BX1727"/>
  <c r="BX1731"/>
  <c r="BX1735"/>
  <c r="BX1739"/>
  <c r="BX1743"/>
  <c r="BX1747"/>
  <c r="BX1751"/>
  <c r="BX1754"/>
  <c r="BX1758"/>
  <c r="BX1762"/>
  <c r="CC1727"/>
  <c r="CC1731"/>
  <c r="CC1735"/>
  <c r="CC1739"/>
  <c r="CC1743"/>
  <c r="CC1747"/>
  <c r="CC1751"/>
  <c r="CC1755"/>
  <c r="CC1759"/>
  <c r="CM1726"/>
  <c r="CM1730"/>
  <c r="CM1734"/>
  <c r="CM1738"/>
  <c r="CM1740"/>
  <c r="CM1743"/>
  <c r="CM1747"/>
  <c r="CM1751"/>
  <c r="CM1755"/>
  <c r="CM1759"/>
  <c r="CW1726"/>
  <c r="CW1729"/>
  <c r="CW1730"/>
  <c r="CW1731"/>
  <c r="CW1734"/>
  <c r="CW1737"/>
  <c r="CW1738"/>
  <c r="CW1739"/>
  <c r="CW1742"/>
  <c r="CW1745"/>
  <c r="CW1746"/>
  <c r="CW1747"/>
  <c r="CW1750"/>
  <c r="CW1753"/>
  <c r="CW1754"/>
  <c r="CW1755"/>
  <c r="CW1758"/>
  <c r="CW1761"/>
  <c r="CW1762"/>
  <c r="BY1726"/>
  <c r="BY1730"/>
  <c r="BY1733"/>
  <c r="BY1735"/>
  <c r="BY1738"/>
  <c r="BY1742"/>
  <c r="BY1746"/>
  <c r="BY1750"/>
  <c r="BY1754"/>
  <c r="BY1758"/>
  <c r="BY1762"/>
  <c r="CD1727"/>
  <c r="CD1731"/>
  <c r="CD1735"/>
  <c r="CD1739"/>
  <c r="CD1743"/>
  <c r="CD1747"/>
  <c r="CD1751"/>
  <c r="CD1754"/>
  <c r="CD1757"/>
  <c r="CD1759"/>
  <c r="CN1725"/>
  <c r="CN1726"/>
  <c r="CN1727"/>
  <c r="CN1731"/>
  <c r="CN1735"/>
  <c r="CN1739"/>
  <c r="CN1743"/>
  <c r="CN1747"/>
  <c r="CN1751"/>
  <c r="CN1755"/>
  <c r="CN1759"/>
  <c r="CX1726"/>
  <c r="CX1727"/>
  <c r="CX1729"/>
  <c r="CX1730"/>
  <c r="CX1731"/>
  <c r="CX1734"/>
  <c r="CX1737"/>
  <c r="CX1738"/>
  <c r="CX1739"/>
  <c r="CX1742"/>
  <c r="CX1745"/>
  <c r="CX1746"/>
  <c r="CX1747"/>
  <c r="CX1750"/>
  <c r="CX1753"/>
  <c r="CX1754"/>
  <c r="CX1755"/>
  <c r="CX1758"/>
  <c r="CX1761"/>
  <c r="CX1762"/>
  <c r="BZ1726"/>
  <c r="BZ1727"/>
  <c r="BZ1730"/>
  <c r="BZ1731"/>
  <c r="BZ1734"/>
  <c r="BZ1735"/>
  <c r="BZ1737"/>
  <c r="BZ1739"/>
  <c r="BZ1743"/>
  <c r="BZ1747"/>
  <c r="BZ1751"/>
  <c r="BZ1755"/>
  <c r="BZ1759"/>
  <c r="CE1726"/>
  <c r="CE1727"/>
  <c r="CE1730"/>
  <c r="CE1731"/>
  <c r="CE1734"/>
  <c r="CE1735"/>
  <c r="CE1738"/>
  <c r="CE1739"/>
  <c r="CE1742"/>
  <c r="CE1743"/>
  <c r="CE1746"/>
  <c r="CE1750"/>
  <c r="CE1754"/>
  <c r="CE1756"/>
  <c r="CE1759"/>
  <c r="CO1726"/>
  <c r="CO1727"/>
  <c r="CO1730"/>
  <c r="CO1731"/>
  <c r="CO1734"/>
  <c r="CO1735"/>
  <c r="CO1738"/>
  <c r="CO1739"/>
  <c r="CO1740"/>
  <c r="CO1742"/>
  <c r="CO1743"/>
  <c r="CO1746"/>
  <c r="CO1747"/>
  <c r="CO1751"/>
  <c r="CO1754"/>
  <c r="CO1758"/>
  <c r="CO1762"/>
  <c r="CY1726"/>
  <c r="CY1727"/>
  <c r="CY1729"/>
  <c r="CY1730"/>
  <c r="CY1731"/>
  <c r="CY1733"/>
  <c r="CY1734"/>
  <c r="CY1735"/>
  <c r="CY1737"/>
  <c r="CY1738"/>
  <c r="CY1739"/>
  <c r="CY1741"/>
  <c r="CY1742"/>
  <c r="CY1743"/>
  <c r="CY1745"/>
  <c r="CY1746"/>
  <c r="CY1747"/>
  <c r="CY1749"/>
  <c r="CY1750"/>
  <c r="CY1751"/>
  <c r="CY1753"/>
  <c r="CY1754"/>
  <c r="CY1755"/>
  <c r="CY1757"/>
  <c r="CY1758"/>
  <c r="CY1759"/>
  <c r="CY1762"/>
  <c r="CA1726"/>
  <c r="CA1727"/>
  <c r="CA1730"/>
  <c r="CA1731"/>
  <c r="CA1734"/>
  <c r="CA1735"/>
  <c r="CA1738"/>
  <c r="CA1739"/>
  <c r="CA1742"/>
  <c r="CA1743"/>
  <c r="CA1746"/>
  <c r="CA1747"/>
  <c r="CA1750"/>
  <c r="CA1751"/>
  <c r="CA1754"/>
  <c r="CA1755"/>
  <c r="CA1758"/>
  <c r="CA1759"/>
  <c r="CA1762"/>
  <c r="CF1726"/>
  <c r="CF1727"/>
  <c r="CF1730"/>
  <c r="CF1731"/>
  <c r="CF1734"/>
  <c r="CF1735"/>
  <c r="CF1738"/>
  <c r="CF1739"/>
  <c r="CF1742"/>
  <c r="CF1743"/>
  <c r="CF1746"/>
  <c r="CF1747"/>
  <c r="CF1750"/>
  <c r="CF1751"/>
  <c r="CF1754"/>
  <c r="CF1755"/>
  <c r="CF1758"/>
  <c r="CF1759"/>
  <c r="CF1761"/>
  <c r="CF1762"/>
  <c r="CP1726"/>
  <c r="CP1727"/>
  <c r="CP1728"/>
  <c r="CP1730"/>
  <c r="CP1731"/>
  <c r="CP1732"/>
  <c r="CP1734"/>
  <c r="CP1735"/>
  <c r="CP1738"/>
  <c r="CP1739"/>
  <c r="CP1742"/>
  <c r="CP1743"/>
  <c r="CP1746"/>
  <c r="CP1747"/>
  <c r="CP1750"/>
  <c r="CP1751"/>
  <c r="CP1754"/>
  <c r="CP1755"/>
  <c r="CP1758"/>
  <c r="CP1759"/>
  <c r="CP1760"/>
  <c r="CP1762"/>
  <c r="CZ1726"/>
  <c r="CZ1727"/>
  <c r="CZ1729"/>
  <c r="CZ1730"/>
  <c r="CZ1731"/>
  <c r="CZ1733"/>
  <c r="CZ1734"/>
  <c r="CZ1735"/>
  <c r="CZ1737"/>
  <c r="CZ1738"/>
  <c r="CZ1739"/>
  <c r="CZ1741"/>
  <c r="CZ1742"/>
  <c r="CZ1743"/>
  <c r="CZ1745"/>
  <c r="CZ1746"/>
  <c r="CZ1747"/>
  <c r="CZ1749"/>
  <c r="CZ1750"/>
  <c r="CZ1751"/>
  <c r="CZ1753"/>
  <c r="CZ1754"/>
  <c r="CZ1755"/>
  <c r="CZ1757"/>
  <c r="CZ1758"/>
  <c r="CZ1759"/>
  <c r="CZ1761"/>
  <c r="CZ1762"/>
  <c r="FD1726"/>
  <c r="FD1727"/>
  <c r="FD1730"/>
  <c r="FD1731"/>
  <c r="FD1734"/>
  <c r="FD1735"/>
  <c r="FD1738"/>
  <c r="FD1739"/>
  <c r="FD1742"/>
  <c r="FD1743"/>
  <c r="FD1746"/>
  <c r="FD1747"/>
  <c r="FD1750"/>
  <c r="FD1751"/>
  <c r="FD1754"/>
  <c r="FD1755"/>
  <c r="FD1758"/>
  <c r="FD1759"/>
  <c r="FD1762"/>
  <c r="FE1726"/>
  <c r="FE1727"/>
  <c r="FE1730"/>
  <c r="FE1731"/>
  <c r="FE1734"/>
  <c r="FE1735"/>
  <c r="FE1738"/>
  <c r="FE1739"/>
  <c r="FE1742"/>
  <c r="FE1743"/>
  <c r="FE1746"/>
  <c r="FE1747"/>
  <c r="FE1750"/>
  <c r="FE1751"/>
  <c r="FE1754"/>
  <c r="FE1755"/>
  <c r="FE1757"/>
  <c r="FE1758"/>
  <c r="FE1759"/>
  <c r="FE1762"/>
  <c r="FF1726"/>
  <c r="FF1727"/>
  <c r="FF1730"/>
  <c r="FF1731"/>
  <c r="FF1734"/>
  <c r="FF1735"/>
  <c r="FF1738"/>
  <c r="FF1739"/>
  <c r="FF1742"/>
  <c r="FF1743"/>
  <c r="FF1746"/>
  <c r="FF1747"/>
  <c r="FF1750"/>
  <c r="FF1751"/>
  <c r="FF1752"/>
  <c r="FF1754"/>
  <c r="FF1755"/>
  <c r="FF1756"/>
  <c r="FF1758"/>
  <c r="FF1759"/>
  <c r="FF1762"/>
  <c r="FG1725"/>
  <c r="FG1726"/>
  <c r="FG1727"/>
  <c r="FG1730"/>
  <c r="FG1731"/>
  <c r="FG1734"/>
  <c r="FG1735"/>
  <c r="FG1738"/>
  <c r="FG1739"/>
  <c r="FG1742"/>
  <c r="FG1743"/>
  <c r="FG1746"/>
  <c r="FG1747"/>
  <c r="FG1750"/>
  <c r="FG1751"/>
  <c r="FG1754"/>
  <c r="FG1755"/>
  <c r="FG1758"/>
  <c r="FG1759"/>
  <c r="FG1762"/>
  <c r="FH1726"/>
  <c r="FH1727"/>
  <c r="FH1728"/>
  <c r="FH1730"/>
  <c r="FH1731"/>
  <c r="FH1732"/>
  <c r="FH1734"/>
  <c r="FH1735"/>
  <c r="FH1736"/>
  <c r="FH1738"/>
  <c r="FH1739"/>
  <c r="FH1740"/>
  <c r="FH1742"/>
  <c r="FH1743"/>
  <c r="FH1744"/>
  <c r="FH1746"/>
  <c r="FH1747"/>
  <c r="FH1748"/>
  <c r="FH1750"/>
  <c r="FH1751"/>
  <c r="FH1752"/>
  <c r="FH1754"/>
  <c r="FH1755"/>
  <c r="FH1756"/>
  <c r="FH1758"/>
  <c r="FH1759"/>
  <c r="FH1760"/>
  <c r="FH1762"/>
  <c r="FI1726"/>
  <c r="FI1727"/>
  <c r="FI1730"/>
  <c r="FI1731"/>
  <c r="FI1733"/>
  <c r="FI1734"/>
  <c r="FI1735"/>
  <c r="FI1738"/>
  <c r="FI1739"/>
  <c r="FI1742"/>
  <c r="FI1743"/>
  <c r="FI1746"/>
  <c r="FI1747"/>
  <c r="FI1750"/>
  <c r="FI1751"/>
  <c r="FI1753"/>
  <c r="FI1754"/>
  <c r="FI1755"/>
  <c r="FI1758"/>
  <c r="FI1759"/>
  <c r="FI1762"/>
  <c r="FJ1726"/>
  <c r="FJ1727"/>
  <c r="FJ1730"/>
  <c r="FJ1731"/>
  <c r="FJ1734"/>
  <c r="FJ1735"/>
  <c r="FJ1738"/>
  <c r="FJ1739"/>
  <c r="FJ1742"/>
  <c r="FJ1743"/>
  <c r="FJ1746"/>
  <c r="FJ1747"/>
  <c r="FJ1750"/>
  <c r="FJ1751"/>
  <c r="FJ1754"/>
  <c r="FJ1755"/>
  <c r="FJ1758"/>
  <c r="FJ1759"/>
  <c r="FJ1762"/>
  <c r="FK1726"/>
  <c r="FK1727"/>
  <c r="FK1730"/>
  <c r="FK1731"/>
  <c r="FK1734"/>
  <c r="FK1735"/>
  <c r="FK1738"/>
  <c r="FK1739"/>
  <c r="FK1742"/>
  <c r="FK1743"/>
  <c r="FK1746"/>
  <c r="FK1747"/>
  <c r="FK1750"/>
  <c r="FK1751"/>
  <c r="FK1754"/>
  <c r="FK1755"/>
  <c r="FK1758"/>
  <c r="FK1759"/>
  <c r="FK1762"/>
  <c r="FL1726"/>
  <c r="FL1727"/>
  <c r="FL1730"/>
  <c r="FL1731"/>
  <c r="FL1734"/>
  <c r="FL1735"/>
  <c r="FL1738"/>
  <c r="FL1739"/>
  <c r="FL1742"/>
  <c r="FL1743"/>
  <c r="FL1746"/>
  <c r="FL1747"/>
  <c r="FL1750"/>
  <c r="FL1751"/>
  <c r="FL1754"/>
  <c r="FL1755"/>
  <c r="FL1758"/>
  <c r="FL1759"/>
  <c r="FL1762"/>
  <c r="FM1726"/>
  <c r="FM1727"/>
  <c r="FM1730"/>
  <c r="FM1731"/>
  <c r="FM1734"/>
  <c r="FM1735"/>
  <c r="FM1738"/>
  <c r="FM1739"/>
  <c r="FM1742"/>
  <c r="FM1743"/>
  <c r="FM1746"/>
  <c r="FM1747"/>
  <c r="FM1750"/>
  <c r="FM1751"/>
  <c r="FM1754"/>
  <c r="FM1755"/>
  <c r="FM1758"/>
  <c r="FM1759"/>
  <c r="FM1762"/>
  <c r="FN1726"/>
  <c r="FN1727"/>
  <c r="FN1730"/>
  <c r="FN1731"/>
  <c r="FN1732"/>
  <c r="FN1734"/>
  <c r="FN1735"/>
  <c r="FN1736"/>
  <c r="FN1738"/>
  <c r="FN1739"/>
  <c r="FN1742"/>
  <c r="FN1743"/>
  <c r="FN1746"/>
  <c r="FN1747"/>
  <c r="FN1748"/>
  <c r="FN1750"/>
  <c r="FN1751"/>
  <c r="FN1752"/>
  <c r="FN1754"/>
  <c r="FN1755"/>
  <c r="FN1758"/>
  <c r="FN1759"/>
  <c r="FN1762"/>
  <c r="FO1726"/>
  <c r="FO1727"/>
  <c r="FO1730"/>
  <c r="FO1731"/>
  <c r="FO1734"/>
  <c r="FO1735"/>
  <c r="FO1738"/>
  <c r="FO1739"/>
  <c r="FO1742"/>
  <c r="FO1743"/>
  <c r="FO1746"/>
  <c r="FO1747"/>
  <c r="FO1750"/>
  <c r="FO1751"/>
  <c r="FO1754"/>
  <c r="FO1755"/>
  <c r="FO1758"/>
  <c r="FO1759"/>
  <c r="FO1762"/>
  <c r="FP1726"/>
  <c r="FP1727"/>
  <c r="FP1730"/>
  <c r="FP1731"/>
  <c r="FP1734"/>
  <c r="FP1735"/>
  <c r="FP1738"/>
  <c r="FP1739"/>
  <c r="FP1742"/>
  <c r="FP1743"/>
  <c r="FP1746"/>
  <c r="FP1747"/>
  <c r="FP1750"/>
  <c r="FP1751"/>
  <c r="FP1754"/>
  <c r="FP1755"/>
  <c r="FP1758"/>
  <c r="FP1759"/>
  <c r="FP1762"/>
  <c r="FQ1726"/>
  <c r="FQ1727"/>
  <c r="FQ1729"/>
  <c r="FQ1730"/>
  <c r="FQ1731"/>
  <c r="FQ1734"/>
  <c r="FQ1735"/>
  <c r="FQ1738"/>
  <c r="FQ1739"/>
  <c r="FQ1741"/>
  <c r="FQ1742"/>
  <c r="FQ1743"/>
  <c r="FQ1746"/>
  <c r="FQ1747"/>
  <c r="FQ1750"/>
  <c r="FQ1751"/>
  <c r="FQ1754"/>
  <c r="FQ1755"/>
  <c r="FQ1758"/>
  <c r="FQ1759"/>
  <c r="FQ1761"/>
  <c r="FQ1762"/>
  <c r="FR1726"/>
  <c r="FR1727"/>
  <c r="FR1728"/>
  <c r="FR1730"/>
  <c r="FR1731"/>
  <c r="FR1734"/>
  <c r="FR1735"/>
  <c r="FR1738"/>
  <c r="FR1739"/>
  <c r="FR1740"/>
  <c r="FR1742"/>
  <c r="FR1743"/>
  <c r="FR1746"/>
  <c r="FR1747"/>
  <c r="FR1750"/>
  <c r="FR1751"/>
  <c r="FR1754"/>
  <c r="FR1755"/>
  <c r="FR1758"/>
  <c r="FR1759"/>
  <c r="FR1760"/>
  <c r="FR1762"/>
  <c r="EY1726"/>
  <c r="EY1727"/>
  <c r="EY1729"/>
  <c r="EY1730"/>
  <c r="EY1731"/>
  <c r="EY1733"/>
  <c r="EY1734"/>
  <c r="EY1735"/>
  <c r="EY1738"/>
  <c r="EY1739"/>
  <c r="EY1742"/>
  <c r="EY1743"/>
  <c r="EY1746"/>
  <c r="EY1747"/>
  <c r="EY1750"/>
  <c r="EY1751"/>
  <c r="EY1754"/>
  <c r="EY1755"/>
  <c r="EY1758"/>
  <c r="EY1759"/>
  <c r="EY1761"/>
  <c r="EY1762"/>
  <c r="EZ1726"/>
  <c r="EZ1727"/>
  <c r="EZ1728"/>
  <c r="EZ1730"/>
  <c r="EZ1731"/>
  <c r="EZ1732"/>
  <c r="EZ1734"/>
  <c r="EZ1735"/>
  <c r="EZ1738"/>
  <c r="EZ1739"/>
  <c r="EZ1742"/>
  <c r="EZ1743"/>
  <c r="EZ1746"/>
  <c r="EZ1747"/>
  <c r="EZ1750"/>
  <c r="EZ1751"/>
  <c r="EZ1754"/>
  <c r="EZ1755"/>
  <c r="EZ1758"/>
  <c r="EZ1759"/>
  <c r="EZ1760"/>
  <c r="EZ1762"/>
  <c r="FA1726"/>
  <c r="FA1727"/>
  <c r="FA1730"/>
  <c r="FA1731"/>
  <c r="FA1734"/>
  <c r="FA1735"/>
  <c r="FA1738"/>
  <c r="FA1739"/>
  <c r="FA1742"/>
  <c r="FA1743"/>
  <c r="FA1746"/>
  <c r="FA1747"/>
  <c r="FA1749"/>
  <c r="FA1750"/>
  <c r="FA1751"/>
  <c r="FA1753"/>
  <c r="FA1754"/>
  <c r="FA1755"/>
  <c r="FA1758"/>
  <c r="FA1759"/>
  <c r="FA1762"/>
  <c r="FB1726"/>
  <c r="FB1727"/>
  <c r="FB1730"/>
  <c r="FB1731"/>
  <c r="FB1734"/>
  <c r="FB1735"/>
  <c r="FB1736"/>
  <c r="FB1738"/>
  <c r="FB1739"/>
  <c r="FB1742"/>
  <c r="FB1743"/>
  <c r="FB1746"/>
  <c r="FB1747"/>
  <c r="FB1748"/>
  <c r="FB1750"/>
  <c r="FB1751"/>
  <c r="FB1754"/>
  <c r="FB1755"/>
  <c r="FB1758"/>
  <c r="FB1759"/>
  <c r="FB1762"/>
  <c r="FC1726"/>
  <c r="FC1727"/>
  <c r="FC1728"/>
  <c r="FC1730"/>
  <c r="FC1731"/>
  <c r="FC1732"/>
  <c r="FC1734"/>
  <c r="FC1735"/>
  <c r="FC1736"/>
  <c r="FC1738"/>
  <c r="FC1739"/>
  <c r="FC1740"/>
  <c r="FC1742"/>
  <c r="FC1743"/>
  <c r="FC1744"/>
  <c r="FC1746"/>
  <c r="FC1747"/>
  <c r="FC1748"/>
  <c r="FC1750"/>
  <c r="FC1751"/>
  <c r="FC1752"/>
  <c r="FC1754"/>
  <c r="FC1755"/>
  <c r="FC1756"/>
  <c r="FC1758"/>
  <c r="FC1759"/>
  <c r="FC1760"/>
  <c r="FC1762"/>
  <c r="ET1726"/>
  <c r="ET1727"/>
  <c r="ET1730"/>
  <c r="ET1731"/>
  <c r="ET1734"/>
  <c r="ET1735"/>
  <c r="ET1738"/>
  <c r="ET1739"/>
  <c r="ET1742"/>
  <c r="ET1743"/>
  <c r="ET1746"/>
  <c r="ET1747"/>
  <c r="ET1750"/>
  <c r="ET1751"/>
  <c r="ET1754"/>
  <c r="ET1755"/>
  <c r="ET1758"/>
  <c r="ET1759"/>
  <c r="ET1762"/>
  <c r="EU1726"/>
  <c r="EU1727"/>
  <c r="EU1728"/>
  <c r="EU1730"/>
  <c r="EU1731"/>
  <c r="EU1732"/>
  <c r="EU1734"/>
  <c r="EU1735"/>
  <c r="EU1738"/>
  <c r="EU1739"/>
  <c r="EU1742"/>
  <c r="EU1743"/>
  <c r="EU1746"/>
  <c r="EU1747"/>
  <c r="EU1750"/>
  <c r="EU1751"/>
  <c r="EU1754"/>
  <c r="EU1755"/>
  <c r="EU1758"/>
  <c r="EU1759"/>
  <c r="EU1760"/>
  <c r="EU1762"/>
  <c r="EV1726"/>
  <c r="EV1727"/>
  <c r="EV1730"/>
  <c r="EV1731"/>
  <c r="EV1734"/>
  <c r="EV1735"/>
  <c r="EV1738"/>
  <c r="EV1739"/>
  <c r="EV1742"/>
  <c r="EV1743"/>
  <c r="EV1746"/>
  <c r="EV1747"/>
  <c r="EV1749"/>
  <c r="EV1750"/>
  <c r="EV1751"/>
  <c r="EV1753"/>
  <c r="EV1754"/>
  <c r="EV1755"/>
  <c r="EV1758"/>
  <c r="EV1759"/>
  <c r="EV1762"/>
  <c r="EW1726"/>
  <c r="EW1727"/>
  <c r="EW1730"/>
  <c r="EW1731"/>
  <c r="EW1734"/>
  <c r="EW1735"/>
  <c r="EW1736"/>
  <c r="EW1738"/>
  <c r="EW1739"/>
  <c r="EW1742"/>
  <c r="EW1743"/>
  <c r="EW1746"/>
  <c r="EW1747"/>
  <c r="EW1748"/>
  <c r="EW1750"/>
  <c r="EW1751"/>
  <c r="EW1754"/>
  <c r="EW1755"/>
  <c r="EW1758"/>
  <c r="EW1759"/>
  <c r="EW1762"/>
  <c r="EX1725"/>
  <c r="EX1726"/>
  <c r="EX1727"/>
  <c r="EX1729"/>
  <c r="EX1730"/>
  <c r="EX1731"/>
  <c r="EX1734"/>
  <c r="EX1735"/>
  <c r="EX1738"/>
  <c r="EX1739"/>
  <c r="EX1741"/>
  <c r="EX1742"/>
  <c r="EX1743"/>
  <c r="EX1745"/>
  <c r="EX1746"/>
  <c r="EX1747"/>
  <c r="EX1750"/>
  <c r="EX1751"/>
  <c r="EX1754"/>
  <c r="EX1755"/>
  <c r="EX1757"/>
  <c r="EX1758"/>
  <c r="EX1759"/>
  <c r="EX1761"/>
  <c r="EX1762"/>
  <c r="EE1727"/>
  <c r="EE1731"/>
  <c r="EE1732"/>
  <c r="EE1735"/>
  <c r="EE1737"/>
  <c r="EE1739"/>
  <c r="EE1743"/>
  <c r="EE1747"/>
  <c r="EE1748"/>
  <c r="EE1751"/>
  <c r="EE1753"/>
  <c r="EE1755"/>
  <c r="EE1759"/>
  <c r="EJ1725"/>
  <c r="EJ1726"/>
  <c r="EJ1727"/>
  <c r="EJ1731"/>
  <c r="EJ1735"/>
  <c r="EJ1739"/>
  <c r="EJ1741"/>
  <c r="EJ1742"/>
  <c r="EJ1743"/>
  <c r="EJ1747"/>
  <c r="EJ1751"/>
  <c r="EJ1755"/>
  <c r="EJ1757"/>
  <c r="EJ1758"/>
  <c r="EJ1759"/>
  <c r="EO1725"/>
  <c r="EO1727"/>
  <c r="EO1731"/>
  <c r="EO1735"/>
  <c r="EO1736"/>
  <c r="EO1739"/>
  <c r="EO1741"/>
  <c r="EO1743"/>
  <c r="EO1747"/>
  <c r="EO1751"/>
  <c r="EO1752"/>
  <c r="EO1755"/>
  <c r="EO1757"/>
  <c r="EO1759"/>
  <c r="EF1727"/>
  <c r="EF1729"/>
  <c r="EF1731"/>
  <c r="EF1734"/>
  <c r="EF1735"/>
  <c r="EF1739"/>
  <c r="EF1743"/>
  <c r="EF1745"/>
  <c r="EF1747"/>
  <c r="EF1750"/>
  <c r="EF1751"/>
  <c r="EF1755"/>
  <c r="EF1759"/>
  <c r="EF1761"/>
  <c r="EK1727"/>
  <c r="EK1728"/>
  <c r="EK1731"/>
  <c r="EK1735"/>
  <c r="EK1738"/>
  <c r="EK1739"/>
  <c r="EK1743"/>
  <c r="EK1744"/>
  <c r="EK1747"/>
  <c r="EK1751"/>
  <c r="EK1754"/>
  <c r="EK1755"/>
  <c r="EK1759"/>
  <c r="EK1760"/>
  <c r="EP1726"/>
  <c r="EP1727"/>
  <c r="EP1731"/>
  <c r="EP1734"/>
  <c r="EP1735"/>
  <c r="EP1739"/>
  <c r="EP1742"/>
  <c r="EP1743"/>
  <c r="EP1747"/>
  <c r="EP1750"/>
  <c r="EP1751"/>
  <c r="EP1755"/>
  <c r="EP1758"/>
  <c r="EP1759"/>
  <c r="EG1726"/>
  <c r="EG1727"/>
  <c r="EG1731"/>
  <c r="EG1735"/>
  <c r="EG1736"/>
  <c r="EG1739"/>
  <c r="EG1742"/>
  <c r="EG1743"/>
  <c r="EG1747"/>
  <c r="EG1751"/>
  <c r="EG1752"/>
  <c r="EG1755"/>
  <c r="EG1758"/>
  <c r="EG1759"/>
  <c r="EL1727"/>
  <c r="EL1728"/>
  <c r="EL1731"/>
  <c r="EL1732"/>
  <c r="EL1733"/>
  <c r="EL1735"/>
  <c r="EL1737"/>
  <c r="EL1739"/>
  <c r="EL1743"/>
  <c r="EL1744"/>
  <c r="EL1747"/>
  <c r="EL1748"/>
  <c r="EL1749"/>
  <c r="EL1751"/>
  <c r="EL1753"/>
  <c r="EL1755"/>
  <c r="EL1759"/>
  <c r="EL1760"/>
  <c r="EQ1727"/>
  <c r="EQ1731"/>
  <c r="EQ1735"/>
  <c r="EQ1737"/>
  <c r="EQ1738"/>
  <c r="EQ1739"/>
  <c r="EQ1743"/>
  <c r="EQ1747"/>
  <c r="EQ1751"/>
  <c r="EQ1752"/>
  <c r="EQ1755"/>
  <c r="EQ1759"/>
  <c r="EQ1760"/>
  <c r="EH1725"/>
  <c r="EH1727"/>
  <c r="EH1729"/>
  <c r="EH1730"/>
  <c r="EH1731"/>
  <c r="EH1734"/>
  <c r="EH1735"/>
  <c r="EH1739"/>
  <c r="EH1741"/>
  <c r="EH1743"/>
  <c r="EH1745"/>
  <c r="EH1746"/>
  <c r="EH1747"/>
  <c r="EH1750"/>
  <c r="EH1751"/>
  <c r="EH1755"/>
  <c r="EH1757"/>
  <c r="EH1759"/>
  <c r="EH1761"/>
  <c r="EH1762"/>
  <c r="EM1727"/>
  <c r="EM1731"/>
  <c r="EM1732"/>
  <c r="EM1735"/>
  <c r="EM1739"/>
  <c r="EM1740"/>
  <c r="EM1743"/>
  <c r="EM1747"/>
  <c r="EM1748"/>
  <c r="EM1751"/>
  <c r="EM1755"/>
  <c r="EM1756"/>
  <c r="EM1759"/>
  <c r="ER1725"/>
  <c r="ER1726"/>
  <c r="ER1727"/>
  <c r="ER1730"/>
  <c r="ER1731"/>
  <c r="ER1735"/>
  <c r="ER1737"/>
  <c r="ER1739"/>
  <c r="ER1741"/>
  <c r="ER1742"/>
  <c r="ER1743"/>
  <c r="ER1746"/>
  <c r="ER1747"/>
  <c r="ER1751"/>
  <c r="ER1753"/>
  <c r="ER1755"/>
  <c r="ER1757"/>
  <c r="ER1758"/>
  <c r="ER1759"/>
  <c r="ER1762"/>
  <c r="EI1726"/>
  <c r="EI1727"/>
  <c r="EI1731"/>
  <c r="EI1734"/>
  <c r="EI1735"/>
  <c r="EI1739"/>
  <c r="EI1742"/>
  <c r="EI1743"/>
  <c r="EI1747"/>
  <c r="EI1750"/>
  <c r="EI1751"/>
  <c r="EI1755"/>
  <c r="EI1758"/>
  <c r="EI1759"/>
  <c r="EN1725"/>
  <c r="EN1727"/>
  <c r="EN1731"/>
  <c r="EN1732"/>
  <c r="EN1735"/>
  <c r="EN1736"/>
  <c r="EN1737"/>
  <c r="EN1739"/>
  <c r="EN1741"/>
  <c r="EN1743"/>
  <c r="EN1747"/>
  <c r="EN1748"/>
  <c r="EN1751"/>
  <c r="EN1752"/>
  <c r="EN1753"/>
  <c r="EN1755"/>
  <c r="EN1757"/>
  <c r="EN1759"/>
  <c r="ES1726"/>
  <c r="ES1727"/>
  <c r="ES1731"/>
  <c r="ES1734"/>
  <c r="ES1735"/>
  <c r="ES1739"/>
  <c r="ES1742"/>
  <c r="ES1743"/>
  <c r="ES1747"/>
  <c r="ES1750"/>
  <c r="ES1751"/>
  <c r="ES1755"/>
  <c r="ES1758"/>
  <c r="ES1759"/>
  <c r="DP1726"/>
  <c r="DP1727"/>
  <c r="DP1731"/>
  <c r="DP1734"/>
  <c r="DP1735"/>
  <c r="DP1739"/>
  <c r="DP1742"/>
  <c r="DP1743"/>
  <c r="DP1747"/>
  <c r="DP1750"/>
  <c r="DP1751"/>
  <c r="DP1755"/>
  <c r="DP1758"/>
  <c r="DP1759"/>
  <c r="DU1727"/>
  <c r="DU1728"/>
  <c r="DU1731"/>
  <c r="DU1732"/>
  <c r="DU1733"/>
  <c r="DU1735"/>
  <c r="DU1737"/>
  <c r="DU1739"/>
  <c r="DU1743"/>
  <c r="DU1744"/>
  <c r="DU1747"/>
  <c r="DU1748"/>
  <c r="DU1749"/>
  <c r="DU1751"/>
  <c r="DU1753"/>
  <c r="DU1755"/>
  <c r="DU1759"/>
  <c r="DU1760"/>
  <c r="DZ1726"/>
  <c r="DZ1727"/>
  <c r="DZ1731"/>
  <c r="DZ1733"/>
  <c r="DZ1735"/>
  <c r="DZ1737"/>
  <c r="DZ1738"/>
  <c r="DZ1739"/>
  <c r="DZ1742"/>
  <c r="DZ1743"/>
  <c r="DZ1747"/>
  <c r="DZ1749"/>
  <c r="DZ1751"/>
  <c r="DZ1753"/>
  <c r="DZ1754"/>
  <c r="DZ1755"/>
  <c r="DZ1758"/>
  <c r="DZ1759"/>
  <c r="DQ1727"/>
  <c r="DQ1728"/>
  <c r="DQ1731"/>
  <c r="DQ1735"/>
  <c r="DQ1736"/>
  <c r="DQ1739"/>
  <c r="DQ1743"/>
  <c r="DQ1744"/>
  <c r="DQ1747"/>
  <c r="DQ1751"/>
  <c r="DQ1752"/>
  <c r="DQ1755"/>
  <c r="DQ1759"/>
  <c r="DQ1760"/>
  <c r="DV1727"/>
  <c r="DV1729"/>
  <c r="DV1731"/>
  <c r="DV1733"/>
  <c r="DV1734"/>
  <c r="DV1735"/>
  <c r="DV1738"/>
  <c r="DV1739"/>
  <c r="DV1743"/>
  <c r="DV1745"/>
  <c r="DV1747"/>
  <c r="DV1749"/>
  <c r="DV1750"/>
  <c r="DV1751"/>
  <c r="DV1754"/>
  <c r="DV1755"/>
  <c r="DV1759"/>
  <c r="DV1761"/>
  <c r="EA1727"/>
  <c r="EA1728"/>
  <c r="EA1731"/>
  <c r="EA1735"/>
  <c r="EA1736"/>
  <c r="EA1739"/>
  <c r="EA1743"/>
  <c r="EA1744"/>
  <c r="EA1747"/>
  <c r="EA1751"/>
  <c r="EA1752"/>
  <c r="EA1755"/>
  <c r="EA1759"/>
  <c r="EA1760"/>
  <c r="DR1727"/>
  <c r="DR1728"/>
  <c r="DR1729"/>
  <c r="DR1731"/>
  <c r="DR1733"/>
  <c r="DR1735"/>
  <c r="DR1739"/>
  <c r="DR1740"/>
  <c r="DR1743"/>
  <c r="DR1744"/>
  <c r="DR1745"/>
  <c r="DR1747"/>
  <c r="DR1749"/>
  <c r="DR1751"/>
  <c r="DR1755"/>
  <c r="DR1756"/>
  <c r="DR1759"/>
  <c r="DR1760"/>
  <c r="DR1761"/>
  <c r="DW1727"/>
  <c r="DW1730"/>
  <c r="DW1731"/>
  <c r="DW1735"/>
  <c r="DW1738"/>
  <c r="DW1739"/>
  <c r="DW1743"/>
  <c r="DW1746"/>
  <c r="DW1747"/>
  <c r="DW1751"/>
  <c r="DW1754"/>
  <c r="DW1755"/>
  <c r="DW1759"/>
  <c r="DW1762"/>
  <c r="EB1725"/>
  <c r="EB1727"/>
  <c r="EB1729"/>
  <c r="EB1731"/>
  <c r="EB1735"/>
  <c r="EB1736"/>
  <c r="EB1739"/>
  <c r="EB1740"/>
  <c r="EB1741"/>
  <c r="EB1743"/>
  <c r="EB1745"/>
  <c r="EB1747"/>
  <c r="EB1751"/>
  <c r="EB1752"/>
  <c r="EB1755"/>
  <c r="EB1756"/>
  <c r="EB1757"/>
  <c r="EB1759"/>
  <c r="EB1761"/>
  <c r="DS1726"/>
  <c r="DS1727"/>
  <c r="DS1731"/>
  <c r="DS1734"/>
  <c r="DS1735"/>
  <c r="DS1739"/>
  <c r="DS1742"/>
  <c r="DS1743"/>
  <c r="DS1747"/>
  <c r="DS1750"/>
  <c r="DS1751"/>
  <c r="DS1755"/>
  <c r="DS1758"/>
  <c r="DS1759"/>
  <c r="DS1762"/>
  <c r="DX1727"/>
  <c r="DX1728"/>
  <c r="DX1730"/>
  <c r="DX1731"/>
  <c r="DX1734"/>
  <c r="DX1735"/>
  <c r="DX1739"/>
  <c r="DX1740"/>
  <c r="DX1743"/>
  <c r="DX1744"/>
  <c r="DX1746"/>
  <c r="DX1747"/>
  <c r="DX1750"/>
  <c r="DX1751"/>
  <c r="DX1755"/>
  <c r="DX1756"/>
  <c r="DX1759"/>
  <c r="DX1760"/>
  <c r="DX1762"/>
  <c r="EC1727"/>
  <c r="EC1728"/>
  <c r="EC1731"/>
  <c r="EC1732"/>
  <c r="EC1735"/>
  <c r="EC1736"/>
  <c r="EC1739"/>
  <c r="EC1740"/>
  <c r="EC1743"/>
  <c r="EC1744"/>
  <c r="EC1747"/>
  <c r="EC1748"/>
  <c r="EC1751"/>
  <c r="EC1752"/>
  <c r="EC1755"/>
  <c r="EC1756"/>
  <c r="EC1759"/>
  <c r="EC1760"/>
  <c r="DT1726"/>
  <c r="DT1727"/>
  <c r="DT1731"/>
  <c r="DT1732"/>
  <c r="DT1735"/>
  <c r="DT1736"/>
  <c r="DT1738"/>
  <c r="DT1739"/>
  <c r="DT1742"/>
  <c r="DT1743"/>
  <c r="DT1747"/>
  <c r="DT1748"/>
  <c r="DT1751"/>
  <c r="DT1752"/>
  <c r="DT1754"/>
  <c r="DT1755"/>
  <c r="DT1758"/>
  <c r="DT1759"/>
  <c r="DY1725"/>
  <c r="DY1726"/>
  <c r="DY1727"/>
  <c r="DY1729"/>
  <c r="DY1730"/>
  <c r="DY1731"/>
  <c r="DY1733"/>
  <c r="DY1734"/>
  <c r="DY1735"/>
  <c r="DY1737"/>
  <c r="DY1738"/>
  <c r="DY1739"/>
  <c r="DY1741"/>
  <c r="DY1742"/>
  <c r="DY1743"/>
  <c r="DY1745"/>
  <c r="DY1746"/>
  <c r="DY1747"/>
  <c r="DY1749"/>
  <c r="DY1750"/>
  <c r="DY1751"/>
  <c r="DY1753"/>
  <c r="DY1754"/>
  <c r="DY1755"/>
  <c r="DY1757"/>
  <c r="DY1758"/>
  <c r="DY1759"/>
  <c r="DY1761"/>
  <c r="DY1762"/>
  <c r="ED1727"/>
  <c r="ED1729"/>
  <c r="ED1731"/>
  <c r="ED1733"/>
  <c r="ED1734"/>
  <c r="ED1735"/>
  <c r="ED1738"/>
  <c r="ED1739"/>
  <c r="ED1743"/>
  <c r="ED1745"/>
  <c r="ED1747"/>
  <c r="ED1749"/>
  <c r="ED1750"/>
  <c r="ED1751"/>
  <c r="ED1754"/>
  <c r="ED1755"/>
  <c r="ED1759"/>
  <c r="ED1761"/>
  <c r="DA1726"/>
  <c r="DA1727"/>
  <c r="DA1731"/>
  <c r="DA1732"/>
  <c r="DA1735"/>
  <c r="DA1736"/>
  <c r="DA1738"/>
  <c r="DA1739"/>
  <c r="DA1742"/>
  <c r="DA1743"/>
  <c r="DA1747"/>
  <c r="DA1748"/>
  <c r="DA1751"/>
  <c r="DA1752"/>
  <c r="DA1754"/>
  <c r="DA1755"/>
  <c r="DA1758"/>
  <c r="DA1759"/>
  <c r="DF1725"/>
  <c r="DF1726"/>
  <c r="DF1727"/>
  <c r="DF1729"/>
  <c r="DF1730"/>
  <c r="DF1731"/>
  <c r="DF1733"/>
  <c r="DF1734"/>
  <c r="DF1735"/>
  <c r="DF1737"/>
  <c r="DF1738"/>
  <c r="DF1739"/>
  <c r="DF1741"/>
  <c r="DF1742"/>
  <c r="DF1743"/>
  <c r="DF1745"/>
  <c r="DF1746"/>
  <c r="DF1747"/>
  <c r="DF1749"/>
  <c r="DF1750"/>
  <c r="DF1751"/>
  <c r="DF1753"/>
  <c r="DF1754"/>
  <c r="DF1755"/>
  <c r="DF1757"/>
  <c r="DF1758"/>
  <c r="DF1759"/>
  <c r="DF1761"/>
  <c r="DF1762"/>
  <c r="DK1727"/>
  <c r="DK1728"/>
  <c r="DK1730"/>
  <c r="DK1731"/>
  <c r="DK1734"/>
  <c r="DK1735"/>
  <c r="DK1739"/>
  <c r="DK1740"/>
  <c r="DK1743"/>
  <c r="DK1744"/>
  <c r="DK1746"/>
  <c r="DK1747"/>
  <c r="DK1750"/>
  <c r="DK1751"/>
  <c r="DK1755"/>
  <c r="DK1756"/>
  <c r="DK1759"/>
  <c r="DK1760"/>
  <c r="DK1762"/>
  <c r="DB1727"/>
  <c r="DB1728"/>
  <c r="DB1731"/>
  <c r="DB1732"/>
  <c r="DB1735"/>
  <c r="DB1736"/>
  <c r="DB1739"/>
  <c r="DB1740"/>
  <c r="DB1743"/>
  <c r="DB1744"/>
  <c r="DB1747"/>
  <c r="DB1748"/>
  <c r="DB1751"/>
  <c r="DB1752"/>
  <c r="DB1755"/>
  <c r="DB1756"/>
  <c r="DB1759"/>
  <c r="DB1760"/>
  <c r="DG1725"/>
  <c r="DG1726"/>
  <c r="DG1727"/>
  <c r="DG1730"/>
  <c r="DG1731"/>
  <c r="DG1735"/>
  <c r="DG1737"/>
  <c r="DG1739"/>
  <c r="DG1741"/>
  <c r="DG1742"/>
  <c r="DG1743"/>
  <c r="DG1746"/>
  <c r="DG1747"/>
  <c r="DG1751"/>
  <c r="DG1753"/>
  <c r="DG1755"/>
  <c r="DG1757"/>
  <c r="DG1758"/>
  <c r="DG1759"/>
  <c r="DG1762"/>
  <c r="DL1725"/>
  <c r="DL1727"/>
  <c r="DL1729"/>
  <c r="DL1731"/>
  <c r="DL1735"/>
  <c r="DL1736"/>
  <c r="DL1739"/>
  <c r="DL1740"/>
  <c r="DL1741"/>
  <c r="DL1743"/>
  <c r="DL1745"/>
  <c r="DL1747"/>
  <c r="DL1751"/>
  <c r="DL1752"/>
  <c r="DL1755"/>
  <c r="DL1756"/>
  <c r="DL1757"/>
  <c r="DL1759"/>
  <c r="DL1761"/>
  <c r="DC1725"/>
  <c r="DC1727"/>
  <c r="DC1729"/>
  <c r="DC1730"/>
  <c r="DC1731"/>
  <c r="DC1734"/>
  <c r="DC1735"/>
  <c r="DC1739"/>
  <c r="DC1741"/>
  <c r="DC1743"/>
  <c r="DC1745"/>
  <c r="DC1746"/>
  <c r="DC1747"/>
  <c r="DC1750"/>
  <c r="DC1751"/>
  <c r="DC1755"/>
  <c r="DC1757"/>
  <c r="DC1759"/>
  <c r="DC1761"/>
  <c r="DC1762"/>
  <c r="DH1727"/>
  <c r="DH1728"/>
  <c r="DH1729"/>
  <c r="DH1731"/>
  <c r="DH1733"/>
  <c r="DH1735"/>
  <c r="DH1739"/>
  <c r="DH1740"/>
  <c r="DH1743"/>
  <c r="DH1744"/>
  <c r="DH1745"/>
  <c r="DH1747"/>
  <c r="DH1749"/>
  <c r="DH1751"/>
  <c r="DH1755"/>
  <c r="DH1756"/>
  <c r="DH1759"/>
  <c r="DH1760"/>
  <c r="DH1761"/>
  <c r="DM1726"/>
  <c r="DM1727"/>
  <c r="DM1730"/>
  <c r="DM1731"/>
  <c r="DM1734"/>
  <c r="DM1735"/>
  <c r="DM1738"/>
  <c r="DM1739"/>
  <c r="DM1742"/>
  <c r="DM1743"/>
  <c r="DM1746"/>
  <c r="DM1747"/>
  <c r="DM1750"/>
  <c r="DM1751"/>
  <c r="DM1754"/>
  <c r="DM1755"/>
  <c r="DM1758"/>
  <c r="DM1759"/>
  <c r="DM1762"/>
  <c r="DD1726"/>
  <c r="DD1727"/>
  <c r="DD1730"/>
  <c r="DD1731"/>
  <c r="DD1735"/>
  <c r="DD1736"/>
  <c r="DD1739"/>
  <c r="DD1740"/>
  <c r="DD1742"/>
  <c r="DD1743"/>
  <c r="DD1746"/>
  <c r="DD1747"/>
  <c r="DD1751"/>
  <c r="DD1752"/>
  <c r="DD1755"/>
  <c r="DD1756"/>
  <c r="DD1758"/>
  <c r="DD1759"/>
  <c r="DD1762"/>
  <c r="DI1725"/>
  <c r="DI1727"/>
  <c r="DI1728"/>
  <c r="DI1729"/>
  <c r="DI1731"/>
  <c r="DI1732"/>
  <c r="DI1733"/>
  <c r="DI1735"/>
  <c r="DI1736"/>
  <c r="DI1737"/>
  <c r="DI1739"/>
  <c r="DI1740"/>
  <c r="DI1741"/>
  <c r="DI1743"/>
  <c r="DI1744"/>
  <c r="DI1745"/>
  <c r="DI1747"/>
  <c r="DI1748"/>
  <c r="DI1749"/>
  <c r="DI1751"/>
  <c r="DI1752"/>
  <c r="DI1753"/>
  <c r="DI1755"/>
  <c r="DI1756"/>
  <c r="DI1757"/>
  <c r="DI1759"/>
  <c r="DI1760"/>
  <c r="DI1761"/>
  <c r="DN1726"/>
  <c r="DN1727"/>
  <c r="DN1730"/>
  <c r="DN1731"/>
  <c r="DN1734"/>
  <c r="DN1735"/>
  <c r="DN1738"/>
  <c r="DN1739"/>
  <c r="DN1742"/>
  <c r="DN1743"/>
  <c r="DN1746"/>
  <c r="DN1747"/>
  <c r="DN1750"/>
  <c r="DN1751"/>
  <c r="DN1754"/>
  <c r="DN1755"/>
  <c r="DN1758"/>
  <c r="DN1759"/>
  <c r="DN1762"/>
  <c r="DE1727"/>
  <c r="DE1728"/>
  <c r="DE1731"/>
  <c r="DE1732"/>
  <c r="DE1735"/>
  <c r="DE1736"/>
  <c r="DE1739"/>
  <c r="DE1740"/>
  <c r="DE1743"/>
  <c r="DE1744"/>
  <c r="DE1747"/>
  <c r="DE1748"/>
  <c r="DE1751"/>
  <c r="DE1752"/>
  <c r="DE1755"/>
  <c r="DE1756"/>
  <c r="DE1759"/>
  <c r="DE1760"/>
  <c r="DJ1725"/>
  <c r="DJ1726"/>
  <c r="DJ1727"/>
  <c r="DJ1729"/>
  <c r="DJ1730"/>
  <c r="DJ1731"/>
  <c r="DJ1733"/>
  <c r="DJ1734"/>
  <c r="DJ1735"/>
  <c r="DJ1737"/>
  <c r="DJ1738"/>
  <c r="DJ1739"/>
  <c r="DJ1741"/>
  <c r="DJ1742"/>
  <c r="DJ1743"/>
  <c r="DJ1745"/>
  <c r="DJ1746"/>
  <c r="DJ1747"/>
  <c r="DJ1749"/>
  <c r="DJ1750"/>
  <c r="DJ1751"/>
  <c r="DJ1753"/>
  <c r="DJ1754"/>
  <c r="DJ1755"/>
  <c r="DJ1757"/>
  <c r="DJ1758"/>
  <c r="DJ1759"/>
  <c r="DJ1761"/>
  <c r="DJ1762"/>
  <c r="DO1727"/>
  <c r="DO1728"/>
  <c r="DO1731"/>
  <c r="DO1732"/>
  <c r="DO1735"/>
  <c r="DO1736"/>
  <c r="DO1739"/>
  <c r="DO1740"/>
  <c r="DO1743"/>
  <c r="DO1744"/>
  <c r="DO1747"/>
  <c r="DO1748"/>
  <c r="DO1751"/>
  <c r="DO1752"/>
  <c r="DO1755"/>
  <c r="DO1756"/>
  <c r="DO1759"/>
  <c r="DO1760"/>
  <c r="BM1726"/>
  <c r="BM1727"/>
  <c r="BM1728"/>
  <c r="BM1730"/>
  <c r="BM1731"/>
  <c r="BM1732"/>
  <c r="BM1734"/>
  <c r="BM1735"/>
  <c r="BM1736"/>
  <c r="BM1738"/>
  <c r="BM1739"/>
  <c r="BM1740"/>
  <c r="BM1742"/>
  <c r="BM1743"/>
  <c r="BM1744"/>
  <c r="BM1746"/>
  <c r="BM1747"/>
  <c r="BM1748"/>
  <c r="BM1750"/>
  <c r="BM1751"/>
  <c r="BM1752"/>
  <c r="BM1754"/>
  <c r="BM1755"/>
  <c r="BM1756"/>
  <c r="BM1758"/>
  <c r="BM1759"/>
  <c r="BM1760"/>
  <c r="BM1762"/>
  <c r="BH1725"/>
  <c r="BH1726"/>
  <c r="BH1727"/>
  <c r="BH1729"/>
  <c r="BH1730"/>
  <c r="BH1731"/>
  <c r="BH1733"/>
  <c r="BH1734"/>
  <c r="BH1735"/>
  <c r="BH1737"/>
  <c r="BH1738"/>
  <c r="BH1739"/>
  <c r="BH1741"/>
  <c r="BH1742"/>
  <c r="BH1743"/>
  <c r="BH1745"/>
  <c r="BH1746"/>
  <c r="BH1747"/>
  <c r="BH1749"/>
  <c r="BH1750"/>
  <c r="BH1751"/>
  <c r="BH1753"/>
  <c r="BH1754"/>
  <c r="BH1755"/>
  <c r="BH1757"/>
  <c r="BH1758"/>
  <c r="BH1759"/>
  <c r="BH1761"/>
  <c r="BH1762"/>
  <c r="BN1726"/>
  <c r="BN1727"/>
  <c r="BN1730"/>
  <c r="BN1731"/>
  <c r="BN1734"/>
  <c r="BN1735"/>
  <c r="BN1738"/>
  <c r="BN1739"/>
  <c r="BN1742"/>
  <c r="BN1743"/>
  <c r="BN1746"/>
  <c r="BN1747"/>
  <c r="BN1750"/>
  <c r="BN1751"/>
  <c r="BN1754"/>
  <c r="BN1755"/>
  <c r="BN1758"/>
  <c r="BN1759"/>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6"/>
  <c r="BO1727"/>
  <c r="BO1730"/>
  <c r="BO1731"/>
  <c r="BO1734"/>
  <c r="BO1735"/>
  <c r="BO1738"/>
  <c r="BO1739"/>
  <c r="BO1742"/>
  <c r="BO1743"/>
  <c r="BO1746"/>
  <c r="BO1747"/>
  <c r="BO1750"/>
  <c r="BO1751"/>
  <c r="BO1754"/>
  <c r="BO1755"/>
  <c r="BO1758"/>
  <c r="BO1759"/>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6"/>
  <c r="BP1727"/>
  <c r="BP1730"/>
  <c r="BP1731"/>
  <c r="BP1734"/>
  <c r="BP1735"/>
  <c r="BP1738"/>
  <c r="BP1739"/>
  <c r="BP1742"/>
  <c r="BP1743"/>
  <c r="BP1746"/>
  <c r="BP1747"/>
  <c r="BP1750"/>
  <c r="BP1751"/>
  <c r="BP1754"/>
  <c r="BP1755"/>
  <c r="BP1758"/>
  <c r="BP1759"/>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6"/>
  <c r="BQ1727"/>
  <c r="BQ1730"/>
  <c r="BQ1731"/>
  <c r="BQ1734"/>
  <c r="BQ1735"/>
  <c r="BQ1738"/>
  <c r="BQ1739"/>
  <c r="BQ1742"/>
  <c r="BQ1743"/>
  <c r="BQ1746"/>
  <c r="BQ1747"/>
  <c r="BQ1750"/>
  <c r="BQ1751"/>
  <c r="BQ1754"/>
  <c r="BQ1755"/>
  <c r="BQ1758"/>
  <c r="BQ1759"/>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6"/>
  <c r="AS1727"/>
  <c r="AS1730"/>
  <c r="AS1731"/>
  <c r="AS1734"/>
  <c r="AS1735"/>
  <c r="AS1738"/>
  <c r="AS1739"/>
  <c r="AS1742"/>
  <c r="AS1743"/>
  <c r="AS1746"/>
  <c r="AS1747"/>
  <c r="AS1750"/>
  <c r="AS1751"/>
  <c r="AS1754"/>
  <c r="AS1755"/>
  <c r="AS1758"/>
  <c r="AS1759"/>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9"/>
  <c r="AT1730"/>
  <c r="AT1731"/>
  <c r="AT1733"/>
  <c r="AT1734"/>
  <c r="AT1735"/>
  <c r="AT1737"/>
  <c r="AT1738"/>
  <c r="AT1739"/>
  <c r="AT1741"/>
  <c r="AT1742"/>
  <c r="AT1743"/>
  <c r="AT1745"/>
  <c r="AT1746"/>
  <c r="AT1747"/>
  <c r="AT1749"/>
  <c r="AT1750"/>
  <c r="AT1751"/>
  <c r="AT1753"/>
  <c r="AT1754"/>
  <c r="AT1755"/>
  <c r="AT1757"/>
  <c r="AT1758"/>
  <c r="AT1759"/>
  <c r="AT1761"/>
  <c r="AT1762"/>
  <c r="AZ1726"/>
  <c r="AZ1727"/>
  <c r="AZ1728"/>
  <c r="AZ1730"/>
  <c r="AZ1731"/>
  <c r="AZ1732"/>
  <c r="AZ1734"/>
  <c r="AZ1735"/>
  <c r="AZ1736"/>
  <c r="AZ1738"/>
  <c r="AZ1739"/>
  <c r="AZ1740"/>
  <c r="AZ1742"/>
  <c r="AZ1743"/>
  <c r="AZ1744"/>
  <c r="AZ1746"/>
  <c r="AZ1747"/>
  <c r="AZ1748"/>
  <c r="AZ1750"/>
  <c r="AZ1751"/>
  <c r="AZ1752"/>
  <c r="AZ1754"/>
  <c r="AZ1755"/>
  <c r="AZ1756"/>
  <c r="AZ1758"/>
  <c r="AZ1759"/>
  <c r="AZ1760"/>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6"/>
  <c r="BA1727"/>
  <c r="BA1728"/>
  <c r="BA1730"/>
  <c r="BA1731"/>
  <c r="BA1732"/>
  <c r="BA1734"/>
  <c r="BA1735"/>
  <c r="BA1736"/>
  <c r="BA1738"/>
  <c r="BA1739"/>
  <c r="BA1740"/>
  <c r="BA1742"/>
  <c r="BA1743"/>
  <c r="BA1744"/>
  <c r="BA1746"/>
  <c r="BA1747"/>
  <c r="BA1748"/>
  <c r="BA1750"/>
  <c r="BA1751"/>
  <c r="BA1752"/>
  <c r="BA1754"/>
  <c r="BA1755"/>
  <c r="BA1756"/>
  <c r="BA1758"/>
  <c r="BA1759"/>
  <c r="BA1760"/>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6"/>
  <c r="BB1727"/>
  <c r="BB1728"/>
  <c r="BB1730"/>
  <c r="BB1731"/>
  <c r="BB1732"/>
  <c r="BB1734"/>
  <c r="BB1735"/>
  <c r="BB1736"/>
  <c r="BB1738"/>
  <c r="BB1739"/>
  <c r="BB1740"/>
  <c r="BB1742"/>
  <c r="BB1743"/>
  <c r="BB1744"/>
  <c r="BB1746"/>
  <c r="BB1747"/>
  <c r="BB1748"/>
  <c r="BB1750"/>
  <c r="BB1751"/>
  <c r="BB1752"/>
  <c r="BB1754"/>
  <c r="BB1755"/>
  <c r="BB1756"/>
  <c r="BB1758"/>
  <c r="BB1759"/>
  <c r="BB1760"/>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6"/>
  <c r="HK1727"/>
  <c r="HK1728"/>
  <c r="HK1730"/>
  <c r="HK1731"/>
  <c r="HK1732"/>
  <c r="HK1734"/>
  <c r="HK1735"/>
  <c r="HK1736"/>
  <c r="HK1738"/>
  <c r="HK1739"/>
  <c r="HK1740"/>
  <c r="HK1742"/>
  <c r="HK1743"/>
  <c r="HK1744"/>
  <c r="HK1746"/>
  <c r="HK1747"/>
  <c r="HK1748"/>
  <c r="HK1750"/>
  <c r="HK1751"/>
  <c r="HK1752"/>
  <c r="HK1754"/>
  <c r="HK1755"/>
  <c r="HK1756"/>
  <c r="HK1758"/>
  <c r="HK1759"/>
  <c r="HK1760"/>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7"/>
  <c r="HI1758"/>
  <c r="HI1759"/>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s="1"/>
  <c r="O270"/>
  <c r="O279"/>
  <c r="G109" i="15"/>
  <c r="D37" i="3" s="1"/>
  <c r="D390" i="35" s="1"/>
  <c r="J25" i="7"/>
  <c r="I3" i="29" s="1"/>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123" s="1"/>
  <c r="P140" s="1"/>
  <c r="P142" s="1"/>
  <c r="P144" s="1"/>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48" s="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48" s="1"/>
  <c r="I62" s="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48" s="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Y48" s="1"/>
  <c r="I65" s="1"/>
  <c r="AX10"/>
  <c r="AW10"/>
  <c r="AW48" s="1"/>
  <c r="AV10"/>
  <c r="AU10"/>
  <c r="AU48" s="1"/>
  <c r="J66" s="1"/>
  <c r="AT10"/>
  <c r="AS10"/>
  <c r="AS48" s="1"/>
  <c r="H66" s="1"/>
  <c r="AR10"/>
  <c r="AQ10"/>
  <c r="AP10"/>
  <c r="AO10"/>
  <c r="AO48" s="1"/>
  <c r="AN10"/>
  <c r="F106" i="15"/>
  <c r="J158"/>
  <c r="E34"/>
  <c r="E35"/>
  <c r="S36"/>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8" i="11"/>
  <c r="P55"/>
  <c r="P139"/>
  <c r="P132" s="1"/>
  <c r="P166"/>
  <c r="P191"/>
  <c r="P199"/>
  <c r="P235"/>
  <c r="P227"/>
  <c r="P270"/>
  <c r="P279"/>
  <c r="L279"/>
  <c r="A2" i="38"/>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727" i="35"/>
  <c r="P13" i="36"/>
  <c r="P1728" i="35"/>
  <c r="P14" i="36"/>
  <c r="P1729" i="35"/>
  <c r="P10" i="36"/>
  <c r="P1725" i="35" s="1"/>
  <c r="A37" i="8"/>
  <c r="A72" s="1"/>
  <c r="A107" s="1"/>
  <c r="A142" s="1"/>
  <c r="A36"/>
  <c r="A71" s="1"/>
  <c r="A106" s="1"/>
  <c r="A141" s="1"/>
  <c r="A35"/>
  <c r="A70" s="1"/>
  <c r="A105" s="1"/>
  <c r="A140" s="1"/>
  <c r="A34"/>
  <c r="A69" s="1"/>
  <c r="A104" s="1"/>
  <c r="A139" s="1"/>
  <c r="A73"/>
  <c r="A108"/>
  <c r="A143" s="1"/>
  <c r="A74"/>
  <c r="A109" s="1"/>
  <c r="A144" s="1"/>
  <c r="A63"/>
  <c r="A98"/>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F147" i="8"/>
  <c r="F2035" i="35" s="1"/>
  <c r="E147" i="8"/>
  <c r="E2035" i="35" s="1"/>
  <c r="D147" i="8"/>
  <c r="D2035" i="35" s="1"/>
  <c r="C147" i="8"/>
  <c r="C2035" i="35" s="1"/>
  <c r="B147" i="8"/>
  <c r="B2035"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112" i="8"/>
  <c r="K2000" i="35" s="1"/>
  <c r="J112" i="8"/>
  <c r="J2000" i="35" s="1"/>
  <c r="I112" i="8"/>
  <c r="I2000" i="35" s="1"/>
  <c r="H112" i="8"/>
  <c r="H2000" i="35" s="1"/>
  <c r="G112" i="8"/>
  <c r="G2000" i="35" s="1"/>
  <c r="F112" i="8"/>
  <c r="F2000" i="35" s="1"/>
  <c r="E112" i="8"/>
  <c r="E2000" i="35" s="1"/>
  <c r="D112" i="8"/>
  <c r="D2000" i="35" s="1"/>
  <c r="C112" i="8"/>
  <c r="C2000" i="35" s="1"/>
  <c r="B112" i="8"/>
  <c r="B2000"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K77" i="8"/>
  <c r="K1965" i="35" s="1"/>
  <c r="J77" i="8"/>
  <c r="J1965" i="35" s="1"/>
  <c r="I77" i="8"/>
  <c r="I1965" i="35" s="1"/>
  <c r="H77" i="8"/>
  <c r="H1965" i="35" s="1"/>
  <c r="G77" i="8"/>
  <c r="G1965" i="35" s="1"/>
  <c r="F77" i="8"/>
  <c r="F1965" i="35" s="1"/>
  <c r="E77" i="8"/>
  <c r="E1965" i="35" s="1"/>
  <c r="D77" i="8"/>
  <c r="D1965" i="35" s="1"/>
  <c r="C77" i="8"/>
  <c r="C1965" i="35" s="1"/>
  <c r="B77" i="8"/>
  <c r="B1965" i="35" s="1"/>
  <c r="C42" i="8"/>
  <c r="C1930" i="35" s="1"/>
  <c r="D42" i="8"/>
  <c r="D1930" i="35" s="1"/>
  <c r="E42" i="8"/>
  <c r="E1930" i="35" s="1"/>
  <c r="F42" i="8"/>
  <c r="F1930" i="35" s="1"/>
  <c r="G42" i="8"/>
  <c r="G1930" i="35" s="1"/>
  <c r="H42" i="8"/>
  <c r="H1930" i="35" s="1"/>
  <c r="I42" i="8"/>
  <c r="I1930" i="35" s="1"/>
  <c r="J42" i="8"/>
  <c r="J1930" i="35" s="1"/>
  <c r="K42" i="8"/>
  <c r="K1930"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42" i="8"/>
  <c r="B1930" i="35" s="1"/>
  <c r="B32" i="8"/>
  <c r="B1920" i="35" s="1"/>
  <c r="M37" i="3"/>
  <c r="F136" i="8" s="1"/>
  <c r="F2024" i="35" s="1"/>
  <c r="B30" i="8"/>
  <c r="B1918" i="35" s="1"/>
  <c r="M36" i="3"/>
  <c r="M389" i="35"/>
  <c r="F133" i="8"/>
  <c r="F2021" i="35" s="1"/>
  <c r="E133" i="8"/>
  <c r="D133"/>
  <c r="D2021" i="35" s="1"/>
  <c r="C133" i="8"/>
  <c r="C2021" i="35" s="1"/>
  <c r="B133" i="8"/>
  <c r="B2021" i="35" s="1"/>
  <c r="M35" i="3"/>
  <c r="F132" i="8"/>
  <c r="F2020" i="35" s="1"/>
  <c r="D132" i="8"/>
  <c r="D2020" i="35" s="1"/>
  <c r="B132" i="8"/>
  <c r="B2020" i="35" s="1"/>
  <c r="M34" i="3"/>
  <c r="M387" i="35"/>
  <c r="F131" i="8"/>
  <c r="F2019" i="35" s="1"/>
  <c r="E131" i="8"/>
  <c r="E2019" i="35" s="1"/>
  <c r="D131" i="8"/>
  <c r="D2019" i="35" s="1"/>
  <c r="C131" i="8"/>
  <c r="C2019" i="35" s="1"/>
  <c r="B131" i="8"/>
  <c r="B2019" i="35" s="1"/>
  <c r="M33" i="3"/>
  <c r="F130" i="8" s="1"/>
  <c r="F2018" i="35" s="1"/>
  <c r="D130" i="8"/>
  <c r="D2018" i="35" s="1"/>
  <c r="C101" i="8"/>
  <c r="C1989" i="35" s="1"/>
  <c r="K98" i="8"/>
  <c r="K1986" i="35" s="1"/>
  <c r="J98" i="8"/>
  <c r="J1986" i="35" s="1"/>
  <c r="I98" i="8"/>
  <c r="I1986" i="35" s="1"/>
  <c r="H98" i="8"/>
  <c r="H1986" i="35" s="1"/>
  <c r="G98" i="8"/>
  <c r="F98"/>
  <c r="F1986" i="35" s="1"/>
  <c r="E98" i="8"/>
  <c r="E1986" i="35" s="1"/>
  <c r="D98" i="8"/>
  <c r="C98"/>
  <c r="C1986" i="35" s="1"/>
  <c r="B98" i="8"/>
  <c r="B1986" i="35" s="1"/>
  <c r="K97" i="8"/>
  <c r="K1985" i="35" s="1"/>
  <c r="J97" i="8"/>
  <c r="J1985" i="35" s="1"/>
  <c r="H97" i="8"/>
  <c r="H1985" i="35" s="1"/>
  <c r="E97" i="8"/>
  <c r="E1985" i="35" s="1"/>
  <c r="C97" i="8"/>
  <c r="C1985" i="35" s="1"/>
  <c r="B97" i="8"/>
  <c r="B1985" i="35" s="1"/>
  <c r="K96" i="8"/>
  <c r="K1984" i="35" s="1"/>
  <c r="J96" i="8"/>
  <c r="J1984" i="35" s="1"/>
  <c r="I96" i="8"/>
  <c r="I1984" i="35" s="1"/>
  <c r="H96" i="8"/>
  <c r="H1984" i="35" s="1"/>
  <c r="G96" i="8"/>
  <c r="G1984" i="35" s="1"/>
  <c r="F96" i="8"/>
  <c r="E96"/>
  <c r="E1984" i="35" s="1"/>
  <c r="D96" i="8"/>
  <c r="D1984" i="35" s="1"/>
  <c r="C96" i="8"/>
  <c r="C1984" i="35" s="1"/>
  <c r="B96" i="8"/>
  <c r="J95"/>
  <c r="J1983" i="35" s="1"/>
  <c r="G95" i="8"/>
  <c r="G1983" i="35" s="1"/>
  <c r="D95" i="8"/>
  <c r="D1983" i="35" s="1"/>
  <c r="K63" i="8"/>
  <c r="K1951" i="35" s="1"/>
  <c r="J63" i="8"/>
  <c r="J1951" i="35" s="1"/>
  <c r="I63" i="8"/>
  <c r="I1951" i="35" s="1"/>
  <c r="H63" i="8"/>
  <c r="H1951" i="35" s="1"/>
  <c r="G63" i="8"/>
  <c r="G1951" i="35" s="1"/>
  <c r="F63" i="8"/>
  <c r="F1951" i="35" s="1"/>
  <c r="E63" i="8"/>
  <c r="E1951" i="35" s="1"/>
  <c r="D63" i="8"/>
  <c r="D1951" i="35" s="1"/>
  <c r="C63" i="8"/>
  <c r="C1951" i="35" s="1"/>
  <c r="B63" i="8"/>
  <c r="B1951" i="35" s="1"/>
  <c r="K61" i="8"/>
  <c r="K1949" i="35" s="1"/>
  <c r="J61" i="8"/>
  <c r="J1949" i="35" s="1"/>
  <c r="I61" i="8"/>
  <c r="I1949" i="35" s="1"/>
  <c r="H61" i="8"/>
  <c r="H1949" i="35" s="1"/>
  <c r="G61" i="8"/>
  <c r="G1949" i="35" s="1"/>
  <c r="F61" i="8"/>
  <c r="F1949" i="35" s="1"/>
  <c r="E61" i="8"/>
  <c r="E1949" i="35" s="1"/>
  <c r="D61" i="8"/>
  <c r="D1949" i="35" s="1"/>
  <c r="C61" i="8"/>
  <c r="C1949" i="35" s="1"/>
  <c r="B61" i="8"/>
  <c r="B1949" i="35" s="1"/>
  <c r="G60" i="8"/>
  <c r="G1948" i="35" s="1"/>
  <c r="D60" i="8"/>
  <c r="D1948" i="35" s="1"/>
  <c r="C25" i="8"/>
  <c r="C1913" i="35" s="1"/>
  <c r="F25" i="8"/>
  <c r="F1913" i="35" s="1"/>
  <c r="C26" i="8"/>
  <c r="D26"/>
  <c r="E26"/>
  <c r="E1914" i="35" s="1"/>
  <c r="F26" i="8"/>
  <c r="F1914" i="35" s="1"/>
  <c r="G26" i="8"/>
  <c r="H26"/>
  <c r="H1914" i="35" s="1"/>
  <c r="I26" i="8"/>
  <c r="I1914" i="35" s="1"/>
  <c r="J26" i="8"/>
  <c r="J1914" i="35" s="1"/>
  <c r="K26" i="8"/>
  <c r="C27"/>
  <c r="C1915" i="35" s="1"/>
  <c r="D27" i="8"/>
  <c r="D1915" i="35" s="1"/>
  <c r="E27" i="8"/>
  <c r="E1915" i="35" s="1"/>
  <c r="F27" i="8"/>
  <c r="G27"/>
  <c r="G1915" i="35" s="1"/>
  <c r="H27" i="8"/>
  <c r="H1915" i="35" s="1"/>
  <c r="I27" i="8"/>
  <c r="I1915" i="35" s="1"/>
  <c r="J27" i="8"/>
  <c r="K27"/>
  <c r="K1915" i="35" s="1"/>
  <c r="C28" i="8"/>
  <c r="C1916" i="35" s="1"/>
  <c r="D28" i="8"/>
  <c r="D1916" i="35" s="1"/>
  <c r="E28" i="8"/>
  <c r="F28"/>
  <c r="F1916" i="35" s="1"/>
  <c r="G28" i="8"/>
  <c r="G1916" i="35" s="1"/>
  <c r="H28" i="8"/>
  <c r="H1916" i="35" s="1"/>
  <c r="I28" i="8"/>
  <c r="J28"/>
  <c r="J1916" i="35" s="1"/>
  <c r="K28" i="8"/>
  <c r="K1916" i="35" s="1"/>
  <c r="B26" i="8"/>
  <c r="B1914" i="35" s="1"/>
  <c r="B27" i="8"/>
  <c r="B1915" i="35" s="1"/>
  <c r="B28" i="8"/>
  <c r="B1916" i="35" s="1"/>
  <c r="BA48" i="36"/>
  <c r="K65" s="1"/>
  <c r="M83"/>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T48" s="1"/>
  <c r="CS10"/>
  <c r="CR10"/>
  <c r="CR48" s="1"/>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s="1"/>
  <c r="J109" i="36"/>
  <c r="E17" i="8" s="1"/>
  <c r="K109" i="36"/>
  <c r="F17" i="8" s="1"/>
  <c r="L109" i="36"/>
  <c r="G17" i="8" s="1"/>
  <c r="M109" i="36"/>
  <c r="H17" i="8" s="1"/>
  <c r="N109" i="36"/>
  <c r="I17" i="8" s="1"/>
  <c r="O109" i="36"/>
  <c r="J17" i="8" s="1"/>
  <c r="P109" i="36"/>
  <c r="K17" i="8"/>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48" s="1"/>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s="1"/>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48" s="1"/>
  <c r="J89" s="1"/>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48" s="1"/>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H48" s="1"/>
  <c r="GC10"/>
  <c r="FX10"/>
  <c r="FS10"/>
  <c r="GL10"/>
  <c r="GK10"/>
  <c r="GJ10"/>
  <c r="GJ48" s="1"/>
  <c r="GI10"/>
  <c r="GG10"/>
  <c r="GF10"/>
  <c r="GE10"/>
  <c r="GD10"/>
  <c r="GG48"/>
  <c r="GF48"/>
  <c r="GE48"/>
  <c r="GD48"/>
  <c r="GL48"/>
  <c r="GB10"/>
  <c r="GA10"/>
  <c r="FZ10"/>
  <c r="FZ48" s="1"/>
  <c r="FY10"/>
  <c r="GB48"/>
  <c r="FX48"/>
  <c r="FW10"/>
  <c r="FV10"/>
  <c r="FV48" s="1"/>
  <c r="FU10"/>
  <c r="FT10"/>
  <c r="FT48" s="1"/>
  <c r="A1" i="11"/>
  <c r="O7" i="15"/>
  <c r="O18"/>
  <c r="O24"/>
  <c r="O28"/>
  <c r="O33"/>
  <c r="O47"/>
  <c r="O57"/>
  <c r="O69"/>
  <c r="O75"/>
  <c r="O88"/>
  <c r="O99"/>
  <c r="O105"/>
  <c r="O110"/>
  <c r="O118"/>
  <c r="J156"/>
  <c r="CU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I48" i="36"/>
  <c r="H60" s="1"/>
  <c r="U48"/>
  <c r="I57" s="1"/>
  <c r="M123" i="15"/>
  <c r="M140"/>
  <c r="M142" s="1"/>
  <c r="M144" s="1"/>
  <c r="O38" i="11"/>
  <c r="O2532" i="35"/>
  <c r="P38" i="11"/>
  <c r="P2532" i="35"/>
  <c r="A3"/>
  <c r="A354"/>
  <c r="A414"/>
  <c r="A471"/>
  <c r="G471"/>
  <c r="A959"/>
  <c r="A1008"/>
  <c r="I1675"/>
  <c r="P2530"/>
  <c r="O2530"/>
  <c r="J1650" l="1"/>
  <c r="B1928"/>
  <c r="G1523"/>
  <c r="AC1762"/>
  <c r="K1760"/>
  <c r="L1760" s="1"/>
  <c r="AA1760"/>
  <c r="AI1758"/>
  <c r="K1756"/>
  <c r="L1756" s="1"/>
  <c r="AI1756"/>
  <c r="U1754"/>
  <c r="K1752"/>
  <c r="L1752" s="1"/>
  <c r="CO1752"/>
  <c r="AJ1750"/>
  <c r="K1748"/>
  <c r="L1748" s="1"/>
  <c r="AI1746"/>
  <c r="K1744"/>
  <c r="L1744" s="1"/>
  <c r="X1744"/>
  <c r="Z1742"/>
  <c r="K1740"/>
  <c r="L1740" s="1"/>
  <c r="V1740"/>
  <c r="U1738"/>
  <c r="K1736"/>
  <c r="L1736" s="1"/>
  <c r="AJ1734"/>
  <c r="K1732"/>
  <c r="L1732" s="1"/>
  <c r="AM1732"/>
  <c r="AI1730"/>
  <c r="K1728"/>
  <c r="L1728" s="1"/>
  <c r="Z1728"/>
  <c r="AJ1726"/>
  <c r="K1824"/>
  <c r="H1919"/>
  <c r="E1919"/>
  <c r="J101" i="8"/>
  <c r="D136"/>
  <c r="F107" i="15"/>
  <c r="C109"/>
  <c r="S123"/>
  <c r="F35"/>
  <c r="B39"/>
  <c r="F42" s="1"/>
  <c r="F34"/>
  <c r="G123"/>
  <c r="H403" i="35" s="1"/>
  <c r="S393" s="1"/>
  <c r="L26" i="3"/>
  <c r="L27" s="1"/>
  <c r="J159" i="15"/>
  <c r="L379" i="35"/>
  <c r="L380" s="1"/>
  <c r="CY1761"/>
  <c r="CO1759"/>
  <c r="CO1755"/>
  <c r="CO1750"/>
  <c r="CE1762"/>
  <c r="CE1758"/>
  <c r="CE1755"/>
  <c r="CE1751"/>
  <c r="CE1747"/>
  <c r="BZ1762"/>
  <c r="BZ1758"/>
  <c r="BZ1754"/>
  <c r="BZ1750"/>
  <c r="BZ1746"/>
  <c r="BZ1742"/>
  <c r="BZ1738"/>
  <c r="CX1759"/>
  <c r="CX1757"/>
  <c r="CX1751"/>
  <c r="CX1749"/>
  <c r="CX1743"/>
  <c r="CX1741"/>
  <c r="CX1735"/>
  <c r="CX1733"/>
  <c r="CN1762"/>
  <c r="CN1758"/>
  <c r="CN1754"/>
  <c r="CN1750"/>
  <c r="CN1746"/>
  <c r="CN1742"/>
  <c r="CN1738"/>
  <c r="CN1734"/>
  <c r="CN1730"/>
  <c r="CD1762"/>
  <c r="CD1758"/>
  <c r="CD1755"/>
  <c r="CD1753"/>
  <c r="CD1750"/>
  <c r="CD1746"/>
  <c r="CD1742"/>
  <c r="CD1738"/>
  <c r="CD1734"/>
  <c r="CD1730"/>
  <c r="CD1726"/>
  <c r="BY1759"/>
  <c r="BY1755"/>
  <c r="BY1751"/>
  <c r="BY1747"/>
  <c r="BY1743"/>
  <c r="BY1739"/>
  <c r="BY1737"/>
  <c r="BY1734"/>
  <c r="BY1731"/>
  <c r="BY1727"/>
  <c r="CW1759"/>
  <c r="CW1757"/>
  <c r="CW1751"/>
  <c r="CW1749"/>
  <c r="CW1743"/>
  <c r="CW1741"/>
  <c r="CW1735"/>
  <c r="CW1733"/>
  <c r="CW1727"/>
  <c r="CM1762"/>
  <c r="CM1758"/>
  <c r="CM1754"/>
  <c r="CM1750"/>
  <c r="CM1746"/>
  <c r="CM1742"/>
  <c r="CM1739"/>
  <c r="CM1735"/>
  <c r="CM1731"/>
  <c r="CM1727"/>
  <c r="CC1762"/>
  <c r="CC1758"/>
  <c r="CC1754"/>
  <c r="CC1750"/>
  <c r="CC1746"/>
  <c r="CC1742"/>
  <c r="CC1738"/>
  <c r="CC1734"/>
  <c r="CC1730"/>
  <c r="CC1726"/>
  <c r="BX1759"/>
  <c r="BX1755"/>
  <c r="BX1753"/>
  <c r="BX1750"/>
  <c r="BX1746"/>
  <c r="BX1742"/>
  <c r="BX1738"/>
  <c r="BX1734"/>
  <c r="BX1730"/>
  <c r="BX1726"/>
  <c r="CV1755"/>
  <c r="CV1747"/>
  <c r="CV1737"/>
  <c r="CL1759"/>
  <c r="CL1751"/>
  <c r="CL1743"/>
  <c r="CL1735"/>
  <c r="CL1730"/>
  <c r="CB1759"/>
  <c r="CB1751"/>
  <c r="CB1743"/>
  <c r="CB1735"/>
  <c r="BW1759"/>
  <c r="BW1751"/>
  <c r="BW1743"/>
  <c r="BW1735"/>
  <c r="BW1727"/>
  <c r="G1830"/>
  <c r="I1830"/>
  <c r="K1830"/>
  <c r="M1830"/>
  <c r="O1830"/>
  <c r="BV1759"/>
  <c r="BV1751"/>
  <c r="BV1743"/>
  <c r="BV1735"/>
  <c r="BV1727"/>
  <c r="AM1762"/>
  <c r="AM1754"/>
  <c r="AM1746"/>
  <c r="AM1738"/>
  <c r="AM1731"/>
  <c r="AC1754"/>
  <c r="AC1746"/>
  <c r="AC1738"/>
  <c r="AC1730"/>
  <c r="X1759"/>
  <c r="X1751"/>
  <c r="X1738"/>
  <c r="X1730"/>
  <c r="AL1755"/>
  <c r="AL1747"/>
  <c r="AL1740"/>
  <c r="AL1734"/>
  <c r="AL1727"/>
  <c r="AB1758"/>
  <c r="AB1750"/>
  <c r="AB1742"/>
  <c r="AB1735"/>
  <c r="AB1727"/>
  <c r="W1758"/>
  <c r="W1751"/>
  <c r="W1746"/>
  <c r="W1738"/>
  <c r="W1730"/>
  <c r="AK1755"/>
  <c r="AK1747"/>
  <c r="AK1740"/>
  <c r="AK1734"/>
  <c r="AK1727"/>
  <c r="AA1751"/>
  <c r="AA1735"/>
  <c r="AA1727"/>
  <c r="V1758"/>
  <c r="V1750"/>
  <c r="V1742"/>
  <c r="V1728"/>
  <c r="AJ1755"/>
  <c r="AJ1742"/>
  <c r="AI1762"/>
  <c r="Z1762"/>
  <c r="AJ1762"/>
  <c r="AK1762"/>
  <c r="AL1762"/>
  <c r="X1762"/>
  <c r="BW1762"/>
  <c r="CB1762"/>
  <c r="BR1761"/>
  <c r="BV1761"/>
  <c r="CL1761"/>
  <c r="T1759"/>
  <c r="BS1759"/>
  <c r="V1759"/>
  <c r="BT1759"/>
  <c r="W1759"/>
  <c r="AB1759"/>
  <c r="BU1759"/>
  <c r="AC1759"/>
  <c r="AM1759"/>
  <c r="U1758"/>
  <c r="Z1758"/>
  <c r="AJ1758"/>
  <c r="AA1758"/>
  <c r="AK1758"/>
  <c r="AL1758"/>
  <c r="X1758"/>
  <c r="BW1758"/>
  <c r="CB1758"/>
  <c r="CL1758"/>
  <c r="BS1757"/>
  <c r="BT1757"/>
  <c r="BU1757"/>
  <c r="Y1755"/>
  <c r="BR1755"/>
  <c r="V1755"/>
  <c r="W1755"/>
  <c r="AB1755"/>
  <c r="AC1755"/>
  <c r="AM1755"/>
  <c r="BV1755"/>
  <c r="Z1754"/>
  <c r="AJ1754"/>
  <c r="AA1754"/>
  <c r="AK1754"/>
  <c r="AL1754"/>
  <c r="X1754"/>
  <c r="BW1754"/>
  <c r="CB1754"/>
  <c r="CL1754"/>
  <c r="BR1753"/>
  <c r="W1753"/>
  <c r="BV1753"/>
  <c r="T1751"/>
  <c r="AJ1751"/>
  <c r="BS1751"/>
  <c r="V1751"/>
  <c r="BT1751"/>
  <c r="AB1751"/>
  <c r="BU1751"/>
  <c r="AC1751"/>
  <c r="AM1751"/>
  <c r="AI1750"/>
  <c r="U1750"/>
  <c r="AA1750"/>
  <c r="AK1750"/>
  <c r="W1750"/>
  <c r="AL1750"/>
  <c r="X1750"/>
  <c r="BW1750"/>
  <c r="CB1750"/>
  <c r="CL1750"/>
  <c r="BS1749"/>
  <c r="BT1749"/>
  <c r="BU1749"/>
  <c r="Y1747"/>
  <c r="BR1747"/>
  <c r="AJ1747"/>
  <c r="V1747"/>
  <c r="W1747"/>
  <c r="AB1747"/>
  <c r="AC1747"/>
  <c r="AM1747"/>
  <c r="BV1747"/>
  <c r="Z1746"/>
  <c r="AA1746"/>
  <c r="AK1746"/>
  <c r="AL1746"/>
  <c r="X1746"/>
  <c r="BW1746"/>
  <c r="CB1746"/>
  <c r="CL1746"/>
  <c r="BR1745"/>
  <c r="BV1745"/>
  <c r="T1743"/>
  <c r="AJ1743"/>
  <c r="BS1743"/>
  <c r="V1743"/>
  <c r="BT1743"/>
  <c r="W1743"/>
  <c r="AB1743"/>
  <c r="BU1743"/>
  <c r="X1743"/>
  <c r="AC1743"/>
  <c r="AM1743"/>
  <c r="AI1742"/>
  <c r="U1742"/>
  <c r="AA1742"/>
  <c r="AK1742"/>
  <c r="AL1742"/>
  <c r="BW1742"/>
  <c r="CB1742"/>
  <c r="CL1742"/>
  <c r="BS1741"/>
  <c r="BT1741"/>
  <c r="BU1741"/>
  <c r="Y1739"/>
  <c r="BR1739"/>
  <c r="AJ1739"/>
  <c r="AK1739"/>
  <c r="W1739"/>
  <c r="AB1739"/>
  <c r="AL1739"/>
  <c r="X1739"/>
  <c r="AC1739"/>
  <c r="AM1739"/>
  <c r="BV1739"/>
  <c r="Z1738"/>
  <c r="V1738"/>
  <c r="AA1738"/>
  <c r="BW1738"/>
  <c r="CB1738"/>
  <c r="CL1738"/>
  <c r="BR1737"/>
  <c r="AB1737"/>
  <c r="BV1737"/>
  <c r="T1735"/>
  <c r="Y1735"/>
  <c r="AJ1735"/>
  <c r="BS1735"/>
  <c r="AK1735"/>
  <c r="BT1735"/>
  <c r="W1735"/>
  <c r="AL1735"/>
  <c r="BU1735"/>
  <c r="X1735"/>
  <c r="AC1735"/>
  <c r="AM1735"/>
  <c r="AI1734"/>
  <c r="U1734"/>
  <c r="V1734"/>
  <c r="AA1734"/>
  <c r="AB1734"/>
  <c r="BW1734"/>
  <c r="CB1734"/>
  <c r="CL1734"/>
  <c r="BS1733"/>
  <c r="BT1733"/>
  <c r="BU1733"/>
  <c r="BR1731"/>
  <c r="AJ1731"/>
  <c r="AK1731"/>
  <c r="W1731"/>
  <c r="AL1731"/>
  <c r="X1731"/>
  <c r="AC1731"/>
  <c r="BV1731"/>
  <c r="CL1731"/>
  <c r="CV1731"/>
  <c r="Z1730"/>
  <c r="V1730"/>
  <c r="AA1730"/>
  <c r="AB1730"/>
  <c r="AM1730"/>
  <c r="BW1730"/>
  <c r="CB1730"/>
  <c r="Y1729"/>
  <c r="BR1729"/>
  <c r="BV1729"/>
  <c r="CV1729"/>
  <c r="AK1728"/>
  <c r="AL1728"/>
  <c r="T1727"/>
  <c r="AJ1727"/>
  <c r="BS1727"/>
  <c r="V1727"/>
  <c r="BT1727"/>
  <c r="W1727"/>
  <c r="BU1727"/>
  <c r="X1727"/>
  <c r="AC1727"/>
  <c r="CB1727"/>
  <c r="CL1727"/>
  <c r="AI1726"/>
  <c r="U1726"/>
  <c r="Z1726"/>
  <c r="AA1726"/>
  <c r="AK1726"/>
  <c r="AB1726"/>
  <c r="AL1726"/>
  <c r="AM1726"/>
  <c r="BW1726"/>
  <c r="M32" i="3"/>
  <c r="H385" i="35"/>
  <c r="H402" s="1"/>
  <c r="L2660"/>
  <c r="R2660"/>
  <c r="R2684"/>
  <c r="L2684"/>
  <c r="O2691"/>
  <c r="R2693"/>
  <c r="R2763"/>
  <c r="L2763"/>
  <c r="G1841"/>
  <c r="I1841"/>
  <c r="K1841"/>
  <c r="M1841"/>
  <c r="O1841"/>
  <c r="G1852"/>
  <c r="I1852"/>
  <c r="K1852"/>
  <c r="M1852"/>
  <c r="O1852"/>
  <c r="J123" i="15"/>
  <c r="J140" s="1"/>
  <c r="J142" s="1"/>
  <c r="J144" s="1"/>
  <c r="U1512" i="35"/>
  <c r="P1528"/>
  <c r="M1532"/>
  <c r="U1578"/>
  <c r="A1612"/>
  <c r="P1617"/>
  <c r="K1762"/>
  <c r="L1762" s="1"/>
  <c r="BN1761"/>
  <c r="K1759"/>
  <c r="L1759" s="1"/>
  <c r="K1758"/>
  <c r="L1758" s="1"/>
  <c r="BN1757"/>
  <c r="K1755"/>
  <c r="L1755" s="1"/>
  <c r="K1754"/>
  <c r="L1754" s="1"/>
  <c r="BN1753"/>
  <c r="K1751"/>
  <c r="L1751" s="1"/>
  <c r="K1750"/>
  <c r="L1750" s="1"/>
  <c r="BN1749"/>
  <c r="K1746"/>
  <c r="L1746" s="1"/>
  <c r="BN1745"/>
  <c r="K1742"/>
  <c r="L1742" s="1"/>
  <c r="BN1741"/>
  <c r="K1739"/>
  <c r="L1739" s="1"/>
  <c r="K1738"/>
  <c r="L1738" s="1"/>
  <c r="BN1737"/>
  <c r="K1735"/>
  <c r="L1735" s="1"/>
  <c r="K1734"/>
  <c r="L1734" s="1"/>
  <c r="BN1733"/>
  <c r="K1731"/>
  <c r="L1731" s="1"/>
  <c r="K1730"/>
  <c r="L1730" s="1"/>
  <c r="BN1729"/>
  <c r="K1727"/>
  <c r="L1727" s="1"/>
  <c r="K1726"/>
  <c r="L1726" s="1"/>
  <c r="M1798"/>
  <c r="G1824"/>
  <c r="M1824"/>
  <c r="I1824"/>
  <c r="N1824"/>
  <c r="J1824"/>
  <c r="F1870"/>
  <c r="A2051"/>
  <c r="H2051" s="1"/>
  <c r="F2509"/>
  <c r="G2502" s="1"/>
  <c r="P2509"/>
  <c r="G2504" s="1"/>
  <c r="P2547"/>
  <c r="O175" i="11"/>
  <c r="O2667" i="35"/>
  <c r="R2672"/>
  <c r="O294" i="11"/>
  <c r="O6" s="1"/>
  <c r="FR48" i="36"/>
  <c r="L87" s="1"/>
  <c r="FB48"/>
  <c r="K86" s="1"/>
  <c r="EZ48"/>
  <c r="I86" s="1"/>
  <c r="EX48"/>
  <c r="L85" s="1"/>
  <c r="FP48"/>
  <c r="J87" s="1"/>
  <c r="CQ48"/>
  <c r="CS48"/>
  <c r="J62"/>
  <c r="AA62"/>
  <c r="AE48"/>
  <c r="AN48"/>
  <c r="AP48"/>
  <c r="AR48"/>
  <c r="AT48"/>
  <c r="AV48"/>
  <c r="AX48"/>
  <c r="L66"/>
  <c r="AC66"/>
  <c r="AA66"/>
  <c r="DM48"/>
  <c r="DC48"/>
  <c r="AA73" s="1"/>
  <c r="DG48"/>
  <c r="Z74" s="1"/>
  <c r="DK48"/>
  <c r="DA48"/>
  <c r="Y73" s="1"/>
  <c r="EJ48"/>
  <c r="H80" s="1"/>
  <c r="EH48"/>
  <c r="K79" s="1"/>
  <c r="EQ48"/>
  <c r="CZ48"/>
  <c r="CY48"/>
  <c r="K97" s="1"/>
  <c r="CX48"/>
  <c r="J97" s="1"/>
  <c r="CW48"/>
  <c r="I97" s="1"/>
  <c r="CV48"/>
  <c r="BV48"/>
  <c r="L62" s="1"/>
  <c r="BF48"/>
  <c r="BL48"/>
  <c r="AC70" s="1"/>
  <c r="P1726" i="35"/>
  <c r="H62" i="36"/>
  <c r="Y62"/>
  <c r="AC62"/>
  <c r="AZ48"/>
  <c r="J65" s="1"/>
  <c r="J67" s="1"/>
  <c r="BB48"/>
  <c r="AC65" s="1"/>
  <c r="FK48"/>
  <c r="AA88" s="1"/>
  <c r="L48"/>
  <c r="L49" s="1"/>
  <c r="G102" s="1"/>
  <c r="ES48"/>
  <c r="EN48"/>
  <c r="L80" s="1"/>
  <c r="ER48"/>
  <c r="BU48"/>
  <c r="K62" s="1"/>
  <c r="BK48"/>
  <c r="K70" s="1"/>
  <c r="BJ48"/>
  <c r="AA70" s="1"/>
  <c r="BI48"/>
  <c r="I70" s="1"/>
  <c r="BQ48"/>
  <c r="AC69" s="1"/>
  <c r="AC71" s="1"/>
  <c r="FI48"/>
  <c r="H88" s="1"/>
  <c r="FQ48"/>
  <c r="FN48"/>
  <c r="H87" s="1"/>
  <c r="EW48"/>
  <c r="EU48"/>
  <c r="Z85" s="1"/>
  <c r="AM48"/>
  <c r="L60" s="1"/>
  <c r="AK48"/>
  <c r="J60" s="1"/>
  <c r="X48"/>
  <c r="AC57" s="1"/>
  <c r="W48"/>
  <c r="K57" s="1"/>
  <c r="V48"/>
  <c r="J57" s="1"/>
  <c r="T48"/>
  <c r="Y57" s="1"/>
  <c r="FG48"/>
  <c r="K89" s="1"/>
  <c r="FE48"/>
  <c r="I89" s="1"/>
  <c r="FL48"/>
  <c r="K88" s="1"/>
  <c r="FJ48"/>
  <c r="I88" s="1"/>
  <c r="FO48"/>
  <c r="FC48"/>
  <c r="AC86" s="1"/>
  <c r="FA48"/>
  <c r="EY48"/>
  <c r="Y86" s="1"/>
  <c r="EV48"/>
  <c r="J85" s="1"/>
  <c r="ET48"/>
  <c r="H85" s="1"/>
  <c r="AB62"/>
  <c r="Z62"/>
  <c r="L57"/>
  <c r="AB97"/>
  <c r="AB89"/>
  <c r="GU48"/>
  <c r="GS48"/>
  <c r="CJ48"/>
  <c r="CI48"/>
  <c r="CH48"/>
  <c r="AH48"/>
  <c r="AG48"/>
  <c r="DO48"/>
  <c r="DE48"/>
  <c r="L73" s="1"/>
  <c r="DN48"/>
  <c r="DI48"/>
  <c r="K74" s="1"/>
  <c r="ED48"/>
  <c r="DT48"/>
  <c r="L76" s="1"/>
  <c r="EC48"/>
  <c r="DX48"/>
  <c r="K77" s="1"/>
  <c r="EB48"/>
  <c r="DR48"/>
  <c r="J76" s="1"/>
  <c r="EA48"/>
  <c r="DV48"/>
  <c r="I77" s="1"/>
  <c r="DZ48"/>
  <c r="DP48"/>
  <c r="H76" s="1"/>
  <c r="EL48"/>
  <c r="J80" s="1"/>
  <c r="EP48"/>
  <c r="EF48"/>
  <c r="I79" s="1"/>
  <c r="BH48"/>
  <c r="Y70" s="1"/>
  <c r="BP48"/>
  <c r="AB69" s="1"/>
  <c r="BO48"/>
  <c r="J69" s="1"/>
  <c r="BN48"/>
  <c r="Z69" s="1"/>
  <c r="AA69"/>
  <c r="DJ48"/>
  <c r="L74" s="1"/>
  <c r="DH48"/>
  <c r="AA74" s="1"/>
  <c r="DY48"/>
  <c r="AC77" s="1"/>
  <c r="DW48"/>
  <c r="AA77" s="1"/>
  <c r="DU48"/>
  <c r="Y77" s="1"/>
  <c r="EM48"/>
  <c r="AB80" s="1"/>
  <c r="EK48"/>
  <c r="Z80" s="1"/>
  <c r="BD48"/>
  <c r="BM48"/>
  <c r="H69" s="1"/>
  <c r="DB48"/>
  <c r="Z73" s="1"/>
  <c r="J73"/>
  <c r="Y76"/>
  <c r="EE48"/>
  <c r="H79" s="1"/>
  <c r="BC48"/>
  <c r="BE48"/>
  <c r="BG48"/>
  <c r="A48"/>
  <c r="A7" s="1"/>
  <c r="HA48"/>
  <c r="GZ48"/>
  <c r="GY48"/>
  <c r="GX48"/>
  <c r="GW48"/>
  <c r="HF48"/>
  <c r="HE48"/>
  <c r="HD48"/>
  <c r="HC48"/>
  <c r="HB48"/>
  <c r="HK48"/>
  <c r="HJ48"/>
  <c r="HI48"/>
  <c r="HH48"/>
  <c r="HG48"/>
  <c r="GQ48"/>
  <c r="GP48"/>
  <c r="GO48"/>
  <c r="GN48"/>
  <c r="GM48"/>
  <c r="DD48"/>
  <c r="AB73" s="1"/>
  <c r="DL48"/>
  <c r="DF48"/>
  <c r="Y74" s="1"/>
  <c r="DS48"/>
  <c r="AB76" s="1"/>
  <c r="DQ48"/>
  <c r="Z76" s="1"/>
  <c r="EI48"/>
  <c r="AC79" s="1"/>
  <c r="EG48"/>
  <c r="AA79" s="1"/>
  <c r="EO48"/>
  <c r="BW48"/>
  <c r="H92" s="1"/>
  <c r="AL48"/>
  <c r="AB60" s="1"/>
  <c r="AJ48"/>
  <c r="I60" s="1"/>
  <c r="AC48"/>
  <c r="L58" s="1"/>
  <c r="AB48"/>
  <c r="K58" s="1"/>
  <c r="AA48"/>
  <c r="J58" s="1"/>
  <c r="J59" s="1"/>
  <c r="Z48"/>
  <c r="Z58" s="1"/>
  <c r="Y48"/>
  <c r="Y58" s="1"/>
  <c r="AD48"/>
  <c r="GV48"/>
  <c r="GR48"/>
  <c r="AC74"/>
  <c r="L77"/>
  <c r="I80"/>
  <c r="I66"/>
  <c r="I67" s="1"/>
  <c r="Z66"/>
  <c r="K66"/>
  <c r="K67" s="1"/>
  <c r="AB66"/>
  <c r="H65"/>
  <c r="H67" s="1"/>
  <c r="Y65"/>
  <c r="L65"/>
  <c r="L67" s="1"/>
  <c r="Y69"/>
  <c r="AA57"/>
  <c r="CK48"/>
  <c r="CG48"/>
  <c r="AF48"/>
  <c r="Y66"/>
  <c r="AD66" s="1"/>
  <c r="AB65"/>
  <c r="Z65"/>
  <c r="Z67" s="1"/>
  <c r="GT48"/>
  <c r="J70"/>
  <c r="HA1763" i="35"/>
  <c r="C30" i="8"/>
  <c r="C1918" i="35" s="1"/>
  <c r="J88" i="36"/>
  <c r="K87"/>
  <c r="AB87"/>
  <c r="L86"/>
  <c r="H86"/>
  <c r="I85"/>
  <c r="AC60"/>
  <c r="Y60"/>
  <c r="Z57"/>
  <c r="L89"/>
  <c r="AC89"/>
  <c r="L88"/>
  <c r="AC88"/>
  <c r="Y88"/>
  <c r="I87"/>
  <c r="Z87"/>
  <c r="J86"/>
  <c r="AA86"/>
  <c r="K85"/>
  <c r="AB85"/>
  <c r="B14" i="8"/>
  <c r="GK48" i="36"/>
  <c r="GI48"/>
  <c r="GC48"/>
  <c r="GA48"/>
  <c r="FY48"/>
  <c r="FW48"/>
  <c r="FU48"/>
  <c r="FS48"/>
  <c r="Z89"/>
  <c r="M388" i="35"/>
  <c r="E132" i="8"/>
  <c r="E2020" i="35" s="1"/>
  <c r="C132" i="8"/>
  <c r="I97"/>
  <c r="I1985" i="35" s="1"/>
  <c r="G97" i="8"/>
  <c r="G1985" i="35" s="1"/>
  <c r="F97" i="8"/>
  <c r="F1985" i="35" s="1"/>
  <c r="D97" i="8"/>
  <c r="D1985" i="35" s="1"/>
  <c r="K62" i="8"/>
  <c r="K1950" i="35" s="1"/>
  <c r="J62" i="8"/>
  <c r="J1950" i="35" s="1"/>
  <c r="I62" i="8"/>
  <c r="I1950" i="35" s="1"/>
  <c r="H62" i="8"/>
  <c r="H1950" i="35" s="1"/>
  <c r="G62" i="8"/>
  <c r="G1950" i="35" s="1"/>
  <c r="F62" i="8"/>
  <c r="F1950" i="35" s="1"/>
  <c r="E62" i="8"/>
  <c r="E1950" i="35" s="1"/>
  <c r="D62" i="8"/>
  <c r="D1950" i="35" s="1"/>
  <c r="C62" i="8"/>
  <c r="C1950" i="35" s="1"/>
  <c r="B62" i="8"/>
  <c r="B1950" i="35" s="1"/>
  <c r="E1902"/>
  <c r="E1907"/>
  <c r="F1901"/>
  <c r="E1909"/>
  <c r="E1903"/>
  <c r="AA89" i="36"/>
  <c r="Y89"/>
  <c r="AB88"/>
  <c r="Z88"/>
  <c r="AC87"/>
  <c r="AA87"/>
  <c r="AB86"/>
  <c r="Z86"/>
  <c r="AC85"/>
  <c r="AA85"/>
  <c r="Y85"/>
  <c r="B25" i="8"/>
  <c r="B1913" i="35" s="1"/>
  <c r="K25" i="8"/>
  <c r="K1913" i="35" s="1"/>
  <c r="H25" i="8"/>
  <c r="H1913" i="35" s="1"/>
  <c r="E25" i="8"/>
  <c r="E1913" i="35" s="1"/>
  <c r="E60" i="8"/>
  <c r="E1948" i="35" s="1"/>
  <c r="I60" i="8"/>
  <c r="I1948" i="35" s="1"/>
  <c r="B95" i="8"/>
  <c r="B1983" i="35" s="1"/>
  <c r="E95" i="8"/>
  <c r="E1983" i="35" s="1"/>
  <c r="K95" i="8"/>
  <c r="K1983" i="35" s="1"/>
  <c r="B101" i="8"/>
  <c r="E101"/>
  <c r="H101"/>
  <c r="B130"/>
  <c r="B2018" i="35" s="1"/>
  <c r="B136" i="8"/>
  <c r="M386" i="35"/>
  <c r="E130" i="8"/>
  <c r="E2018" i="35" s="1"/>
  <c r="C130" i="8"/>
  <c r="C2018" i="35" s="1"/>
  <c r="I95" i="8"/>
  <c r="I1983" i="35" s="1"/>
  <c r="H95" i="8"/>
  <c r="H1983" i="35" s="1"/>
  <c r="F95" i="8"/>
  <c r="F1983" i="35" s="1"/>
  <c r="C95" i="8"/>
  <c r="C1983" i="35" s="1"/>
  <c r="K60" i="8"/>
  <c r="K1948" i="35" s="1"/>
  <c r="J60" i="8"/>
  <c r="J1948" i="35" s="1"/>
  <c r="H60" i="8"/>
  <c r="H1948" i="35" s="1"/>
  <c r="F60" i="8"/>
  <c r="F1948" i="35" s="1"/>
  <c r="C60" i="8"/>
  <c r="C1948" i="35" s="1"/>
  <c r="B60" i="8"/>
  <c r="B1948" i="35" s="1"/>
  <c r="D25" i="8"/>
  <c r="D1913" i="35" s="1"/>
  <c r="G25" i="8"/>
  <c r="G1913" i="35" s="1"/>
  <c r="I25" i="8"/>
  <c r="I1913" i="35" s="1"/>
  <c r="J25" i="8"/>
  <c r="J1913" i="35" s="1"/>
  <c r="M390"/>
  <c r="E136" i="8"/>
  <c r="C136"/>
  <c r="K101"/>
  <c r="I101"/>
  <c r="G101"/>
  <c r="F101"/>
  <c r="D101"/>
  <c r="K66"/>
  <c r="J66"/>
  <c r="I66"/>
  <c r="H66"/>
  <c r="G66"/>
  <c r="F66"/>
  <c r="E66"/>
  <c r="D66"/>
  <c r="C66"/>
  <c r="B66"/>
  <c r="AA71" i="36"/>
  <c r="CP48"/>
  <c r="L95" s="1"/>
  <c r="CN48"/>
  <c r="J95" s="1"/>
  <c r="CL48"/>
  <c r="H95" s="1"/>
  <c r="CA48"/>
  <c r="L92" s="1"/>
  <c r="BZ48"/>
  <c r="K92" s="1"/>
  <c r="BY48"/>
  <c r="J92" s="1"/>
  <c r="BX48"/>
  <c r="I92" s="1"/>
  <c r="F108" i="15"/>
  <c r="GE1763" i="35"/>
  <c r="BL1763"/>
  <c r="AC1785" s="1"/>
  <c r="M1797"/>
  <c r="J1835"/>
  <c r="N1835"/>
  <c r="J1846"/>
  <c r="N1846"/>
  <c r="P2658"/>
  <c r="P2786" s="1"/>
  <c r="P2498" s="1"/>
  <c r="L2699"/>
  <c r="J26" i="7"/>
  <c r="P175" i="11"/>
  <c r="P294" s="1"/>
  <c r="P6" s="1"/>
  <c r="CO48" i="36"/>
  <c r="K95" s="1"/>
  <c r="CM48"/>
  <c r="I95" s="1"/>
  <c r="CF48"/>
  <c r="L93" s="1"/>
  <c r="CE48"/>
  <c r="K93" s="1"/>
  <c r="CD48"/>
  <c r="J93" s="1"/>
  <c r="CC48"/>
  <c r="I93" s="1"/>
  <c r="CB48"/>
  <c r="H93" s="1"/>
  <c r="A1763" i="35"/>
  <c r="A1722" s="1"/>
  <c r="AN1763"/>
  <c r="BD1763"/>
  <c r="CR1763"/>
  <c r="FU1763"/>
  <c r="GO1763"/>
  <c r="GU1763"/>
  <c r="AY1763"/>
  <c r="Z1780" s="1"/>
  <c r="U1563"/>
  <c r="A1599"/>
  <c r="A1510"/>
  <c r="U1510"/>
  <c r="AJ1725"/>
  <c r="V1725"/>
  <c r="AK1725"/>
  <c r="BU1725"/>
  <c r="AC1725"/>
  <c r="CC1725"/>
  <c r="CW1725"/>
  <c r="CO1725"/>
  <c r="T1725"/>
  <c r="BS1725"/>
  <c r="AA1725"/>
  <c r="AL1725"/>
  <c r="X1725"/>
  <c r="AM1725"/>
  <c r="CM1725"/>
  <c r="CE1725"/>
  <c r="CY1725"/>
  <c r="FJ1725"/>
  <c r="Y1725"/>
  <c r="W1725"/>
  <c r="BV1725"/>
  <c r="CV1725"/>
  <c r="BY1725"/>
  <c r="BZ1725"/>
  <c r="CA1725"/>
  <c r="FD1725"/>
  <c r="FK1725"/>
  <c r="FM1725"/>
  <c r="FO1725"/>
  <c r="ET1725"/>
  <c r="BT1725"/>
  <c r="CL1725"/>
  <c r="CX1725"/>
  <c r="CP1725"/>
  <c r="FF1725"/>
  <c r="FR1725"/>
  <c r="EZ1725"/>
  <c r="FB1725"/>
  <c r="EU1725"/>
  <c r="EW1725"/>
  <c r="EK1725"/>
  <c r="EG1725"/>
  <c r="BX1725"/>
  <c r="CZ1725"/>
  <c r="FI1725"/>
  <c r="FL1725"/>
  <c r="FP1725"/>
  <c r="FA1725"/>
  <c r="EV1725"/>
  <c r="EP1725"/>
  <c r="EQ1725"/>
  <c r="EI1725"/>
  <c r="ES1725"/>
  <c r="DP1725"/>
  <c r="DW1725"/>
  <c r="DS1725"/>
  <c r="AB1725"/>
  <c r="BW1725"/>
  <c r="CB1725"/>
  <c r="CF1725"/>
  <c r="FN1725"/>
  <c r="EY1725"/>
  <c r="EM1725"/>
  <c r="DQ1725"/>
  <c r="EA1725"/>
  <c r="DX1725"/>
  <c r="DT1725"/>
  <c r="DA1725"/>
  <c r="DK1725"/>
  <c r="DD1725"/>
  <c r="T1761"/>
  <c r="AJ1761"/>
  <c r="V1761"/>
  <c r="AK1761"/>
  <c r="AC1761"/>
  <c r="CC1761"/>
  <c r="CO1761"/>
  <c r="Z1761"/>
  <c r="AA1761"/>
  <c r="AL1761"/>
  <c r="X1761"/>
  <c r="AM1761"/>
  <c r="CM1761"/>
  <c r="CE1761"/>
  <c r="AB1761"/>
  <c r="BW1761"/>
  <c r="BX1761"/>
  <c r="CD1761"/>
  <c r="CA1761"/>
  <c r="W1761"/>
  <c r="BY1761"/>
  <c r="BZ1761"/>
  <c r="CP1761"/>
  <c r="EK1761"/>
  <c r="EG1761"/>
  <c r="CN1761"/>
  <c r="EE1761"/>
  <c r="EJ1761"/>
  <c r="EP1761"/>
  <c r="EI1761"/>
  <c r="ES1761"/>
  <c r="DP1761"/>
  <c r="DW1761"/>
  <c r="EQ1761"/>
  <c r="EM1761"/>
  <c r="DQ1761"/>
  <c r="EA1761"/>
  <c r="DX1761"/>
  <c r="DT1761"/>
  <c r="DA1761"/>
  <c r="DK1761"/>
  <c r="DD1761"/>
  <c r="W1760"/>
  <c r="BV1760"/>
  <c r="BW1760"/>
  <c r="CL1760"/>
  <c r="BX1760"/>
  <c r="CD1760"/>
  <c r="CX1760"/>
  <c r="BR1760"/>
  <c r="U1760"/>
  <c r="BT1760"/>
  <c r="AB1760"/>
  <c r="CB1760"/>
  <c r="CV1760"/>
  <c r="BY1760"/>
  <c r="CN1760"/>
  <c r="BZ1760"/>
  <c r="CF1760"/>
  <c r="CZ1760"/>
  <c r="FE1760"/>
  <c r="FG1760"/>
  <c r="AI1760"/>
  <c r="Z1760"/>
  <c r="AJ1760"/>
  <c r="BS1760"/>
  <c r="CE1760"/>
  <c r="CO1760"/>
  <c r="CY1760"/>
  <c r="FI1760"/>
  <c r="FQ1760"/>
  <c r="EY1760"/>
  <c r="FA1760"/>
  <c r="EV1760"/>
  <c r="CA1760"/>
  <c r="FD1760"/>
  <c r="FK1760"/>
  <c r="FM1760"/>
  <c r="FO1760"/>
  <c r="ET1760"/>
  <c r="EJ1760"/>
  <c r="EF1760"/>
  <c r="FF1760"/>
  <c r="EX1760"/>
  <c r="EO1760"/>
  <c r="EG1760"/>
  <c r="EH1760"/>
  <c r="ER1760"/>
  <c r="DZ1760"/>
  <c r="DV1760"/>
  <c r="X1760"/>
  <c r="AC1760"/>
  <c r="AM1760"/>
  <c r="CC1760"/>
  <c r="CM1760"/>
  <c r="CW1760"/>
  <c r="FJ1760"/>
  <c r="FP1760"/>
  <c r="FB1760"/>
  <c r="EW1760"/>
  <c r="EE1760"/>
  <c r="EP1760"/>
  <c r="EI1760"/>
  <c r="ES1760"/>
  <c r="DP1760"/>
  <c r="DW1760"/>
  <c r="DS1760"/>
  <c r="ED1760"/>
  <c r="DG1760"/>
  <c r="DC1760"/>
  <c r="AJ1757"/>
  <c r="V1757"/>
  <c r="AK1757"/>
  <c r="AC1757"/>
  <c r="CC1757"/>
  <c r="CO1757"/>
  <c r="T1757"/>
  <c r="Z1757"/>
  <c r="AA1757"/>
  <c r="AL1757"/>
  <c r="X1757"/>
  <c r="AM1757"/>
  <c r="CM1757"/>
  <c r="CE1757"/>
  <c r="Y1757"/>
  <c r="W1757"/>
  <c r="BY1757"/>
  <c r="BZ1757"/>
  <c r="CA1757"/>
  <c r="CL1757"/>
  <c r="CP1757"/>
  <c r="EK1757"/>
  <c r="EG1757"/>
  <c r="BX1757"/>
  <c r="EP1757"/>
  <c r="EI1757"/>
  <c r="ES1757"/>
  <c r="DP1757"/>
  <c r="DW1757"/>
  <c r="DS1757"/>
  <c r="AB1757"/>
  <c r="BW1757"/>
  <c r="CB1757"/>
  <c r="CF1757"/>
  <c r="EQ1757"/>
  <c r="EM1757"/>
  <c r="DQ1757"/>
  <c r="EA1757"/>
  <c r="DX1757"/>
  <c r="DT1757"/>
  <c r="DA1757"/>
  <c r="DK1757"/>
  <c r="DD1757"/>
  <c r="U1756"/>
  <c r="W1756"/>
  <c r="BV1756"/>
  <c r="BW1756"/>
  <c r="CL1756"/>
  <c r="BX1756"/>
  <c r="CD1756"/>
  <c r="CX1756"/>
  <c r="BR1756"/>
  <c r="BT1756"/>
  <c r="AB1756"/>
  <c r="CB1756"/>
  <c r="CV1756"/>
  <c r="BY1756"/>
  <c r="CN1756"/>
  <c r="BZ1756"/>
  <c r="CF1756"/>
  <c r="CZ1756"/>
  <c r="FE1756"/>
  <c r="FG1756"/>
  <c r="BS1756"/>
  <c r="CY1756"/>
  <c r="FI1756"/>
  <c r="FQ1756"/>
  <c r="EY1756"/>
  <c r="FA1756"/>
  <c r="EV1756"/>
  <c r="X1756"/>
  <c r="AC1756"/>
  <c r="AM1756"/>
  <c r="CA1756"/>
  <c r="FD1756"/>
  <c r="FK1756"/>
  <c r="FM1756"/>
  <c r="FO1756"/>
  <c r="ET1756"/>
  <c r="EJ1756"/>
  <c r="EF1756"/>
  <c r="AJ1756"/>
  <c r="CC1756"/>
  <c r="CM1756"/>
  <c r="CO1756"/>
  <c r="FJ1756"/>
  <c r="FB1756"/>
  <c r="EW1756"/>
  <c r="EX1756"/>
  <c r="EE1756"/>
  <c r="EH1756"/>
  <c r="ER1756"/>
  <c r="DZ1756"/>
  <c r="DV1756"/>
  <c r="V1756"/>
  <c r="AA1756"/>
  <c r="AK1756"/>
  <c r="AL1756"/>
  <c r="CW1756"/>
  <c r="CP1756"/>
  <c r="FP1756"/>
  <c r="EZ1756"/>
  <c r="EU1756"/>
  <c r="EK1756"/>
  <c r="EP1756"/>
  <c r="EI1756"/>
  <c r="ES1756"/>
  <c r="DP1756"/>
  <c r="DW1756"/>
  <c r="DS1756"/>
  <c r="ED1756"/>
  <c r="DG1756"/>
  <c r="DC1756"/>
  <c r="T1753"/>
  <c r="AJ1753"/>
  <c r="V1753"/>
  <c r="AK1753"/>
  <c r="AC1753"/>
  <c r="CC1753"/>
  <c r="CO1753"/>
  <c r="Z1753"/>
  <c r="AA1753"/>
  <c r="AL1753"/>
  <c r="X1753"/>
  <c r="AM1753"/>
  <c r="CM1753"/>
  <c r="CE1753"/>
  <c r="CL1753"/>
  <c r="CA1753"/>
  <c r="CB1753"/>
  <c r="CN1753"/>
  <c r="CF1753"/>
  <c r="CP1753"/>
  <c r="EK1753"/>
  <c r="EG1753"/>
  <c r="AB1753"/>
  <c r="BW1753"/>
  <c r="EP1753"/>
  <c r="EI1753"/>
  <c r="ES1753"/>
  <c r="DP1753"/>
  <c r="DW1753"/>
  <c r="DS1753"/>
  <c r="Y1753"/>
  <c r="BY1753"/>
  <c r="BZ1753"/>
  <c r="EO1753"/>
  <c r="EF1753"/>
  <c r="EQ1753"/>
  <c r="EM1753"/>
  <c r="DQ1753"/>
  <c r="EA1753"/>
  <c r="DX1753"/>
  <c r="DT1753"/>
  <c r="DA1753"/>
  <c r="DK1753"/>
  <c r="DD1753"/>
  <c r="W1752"/>
  <c r="BV1752"/>
  <c r="BW1752"/>
  <c r="CL1752"/>
  <c r="BX1752"/>
  <c r="CD1752"/>
  <c r="CX1752"/>
  <c r="BR1752"/>
  <c r="U1752"/>
  <c r="BT1752"/>
  <c r="AB1752"/>
  <c r="CB1752"/>
  <c r="CV1752"/>
  <c r="BY1752"/>
  <c r="CN1752"/>
  <c r="BZ1752"/>
  <c r="CF1752"/>
  <c r="CZ1752"/>
  <c r="FE1752"/>
  <c r="FG1752"/>
  <c r="AI1752"/>
  <c r="BS1752"/>
  <c r="X1752"/>
  <c r="AC1752"/>
  <c r="AM1752"/>
  <c r="CY1752"/>
  <c r="FI1752"/>
  <c r="FQ1752"/>
  <c r="EY1752"/>
  <c r="FA1752"/>
  <c r="EV1752"/>
  <c r="V1752"/>
  <c r="AA1752"/>
  <c r="AK1752"/>
  <c r="AL1752"/>
  <c r="CC1752"/>
  <c r="CM1752"/>
  <c r="CA1752"/>
  <c r="FD1752"/>
  <c r="FJ1752"/>
  <c r="FK1752"/>
  <c r="FM1752"/>
  <c r="FO1752"/>
  <c r="ET1752"/>
  <c r="EJ1752"/>
  <c r="EF1752"/>
  <c r="CP1752"/>
  <c r="EZ1752"/>
  <c r="EU1752"/>
  <c r="EX1752"/>
  <c r="EK1752"/>
  <c r="EH1752"/>
  <c r="ER1752"/>
  <c r="DZ1752"/>
  <c r="DV1752"/>
  <c r="CW1752"/>
  <c r="FP1752"/>
  <c r="FR1752"/>
  <c r="EP1752"/>
  <c r="EI1752"/>
  <c r="ES1752"/>
  <c r="DP1752"/>
  <c r="DW1752"/>
  <c r="DS1752"/>
  <c r="ED1752"/>
  <c r="DG1752"/>
  <c r="DC1752"/>
  <c r="AJ1749"/>
  <c r="V1749"/>
  <c r="AK1749"/>
  <c r="AC1749"/>
  <c r="CC1749"/>
  <c r="CO1749"/>
  <c r="T1749"/>
  <c r="AA1749"/>
  <c r="AL1749"/>
  <c r="X1749"/>
  <c r="AM1749"/>
  <c r="CM1749"/>
  <c r="CE1749"/>
  <c r="Y1749"/>
  <c r="CB1749"/>
  <c r="CN1749"/>
  <c r="CA1749"/>
  <c r="CF1749"/>
  <c r="AB1749"/>
  <c r="BW1749"/>
  <c r="BX1749"/>
  <c r="CD1749"/>
  <c r="CP1749"/>
  <c r="EK1749"/>
  <c r="EG1749"/>
  <c r="BY1749"/>
  <c r="BZ1749"/>
  <c r="EO1749"/>
  <c r="EF1749"/>
  <c r="EP1749"/>
  <c r="EI1749"/>
  <c r="ES1749"/>
  <c r="DP1749"/>
  <c r="DW1749"/>
  <c r="DS1749"/>
  <c r="CL1749"/>
  <c r="EE1749"/>
  <c r="EJ1749"/>
  <c r="EQ1749"/>
  <c r="EM1749"/>
  <c r="DQ1749"/>
  <c r="EA1749"/>
  <c r="DX1749"/>
  <c r="DT1749"/>
  <c r="DA1749"/>
  <c r="DK1749"/>
  <c r="DD1749"/>
  <c r="U1748"/>
  <c r="W1748"/>
  <c r="BV1748"/>
  <c r="BW1748"/>
  <c r="CL1748"/>
  <c r="BX1748"/>
  <c r="CD1748"/>
  <c r="CX1748"/>
  <c r="BR1748"/>
  <c r="BT1748"/>
  <c r="AB1748"/>
  <c r="CB1748"/>
  <c r="CV1748"/>
  <c r="BY1748"/>
  <c r="CN1748"/>
  <c r="BZ1748"/>
  <c r="CF1748"/>
  <c r="CZ1748"/>
  <c r="FE1748"/>
  <c r="FG1748"/>
  <c r="Z1748"/>
  <c r="BS1748"/>
  <c r="V1748"/>
  <c r="AA1748"/>
  <c r="AK1748"/>
  <c r="AL1748"/>
  <c r="CC1748"/>
  <c r="CM1748"/>
  <c r="CY1748"/>
  <c r="FI1748"/>
  <c r="FJ1748"/>
  <c r="FQ1748"/>
  <c r="EY1748"/>
  <c r="FA1748"/>
  <c r="EV1748"/>
  <c r="AJ1748"/>
  <c r="CE1748"/>
  <c r="CO1748"/>
  <c r="CA1748"/>
  <c r="FD1748"/>
  <c r="FK1748"/>
  <c r="FM1748"/>
  <c r="FO1748"/>
  <c r="ET1748"/>
  <c r="EJ1748"/>
  <c r="EF1748"/>
  <c r="X1748"/>
  <c r="AC1748"/>
  <c r="AM1748"/>
  <c r="FR1748"/>
  <c r="EX1748"/>
  <c r="EH1748"/>
  <c r="ER1748"/>
  <c r="DZ1748"/>
  <c r="DV1748"/>
  <c r="AI1748"/>
  <c r="CW1748"/>
  <c r="FF1748"/>
  <c r="FP1748"/>
  <c r="EO1748"/>
  <c r="EP1748"/>
  <c r="EG1748"/>
  <c r="EI1748"/>
  <c r="ES1748"/>
  <c r="DP1748"/>
  <c r="DW1748"/>
  <c r="DS1748"/>
  <c r="ED1748"/>
  <c r="DG1748"/>
  <c r="DC1748"/>
  <c r="T1745"/>
  <c r="AJ1745"/>
  <c r="V1745"/>
  <c r="AK1745"/>
  <c r="AC1745"/>
  <c r="CC1745"/>
  <c r="CO1745"/>
  <c r="AA1745"/>
  <c r="AL1745"/>
  <c r="X1745"/>
  <c r="AM1745"/>
  <c r="CM1745"/>
  <c r="CE1745"/>
  <c r="AB1745"/>
  <c r="BW1745"/>
  <c r="BX1745"/>
  <c r="CD1745"/>
  <c r="CA1745"/>
  <c r="W1745"/>
  <c r="BY1745"/>
  <c r="BZ1745"/>
  <c r="CP1745"/>
  <c r="EK1745"/>
  <c r="EG1745"/>
  <c r="Y1745"/>
  <c r="CB1745"/>
  <c r="CL1745"/>
  <c r="CF1745"/>
  <c r="EE1745"/>
  <c r="EJ1745"/>
  <c r="EP1745"/>
  <c r="EI1745"/>
  <c r="ES1745"/>
  <c r="DP1745"/>
  <c r="DW1745"/>
  <c r="DS1745"/>
  <c r="EQ1745"/>
  <c r="EM1745"/>
  <c r="DQ1745"/>
  <c r="EA1745"/>
  <c r="DX1745"/>
  <c r="DT1745"/>
  <c r="DA1745"/>
  <c r="DK1745"/>
  <c r="DD1745"/>
  <c r="W1744"/>
  <c r="BV1744"/>
  <c r="BW1744"/>
  <c r="CL1744"/>
  <c r="BX1744"/>
  <c r="CD1744"/>
  <c r="CX1744"/>
  <c r="BR1744"/>
  <c r="U1744"/>
  <c r="BT1744"/>
  <c r="AB1744"/>
  <c r="CB1744"/>
  <c r="CV1744"/>
  <c r="BY1744"/>
  <c r="CN1744"/>
  <c r="BZ1744"/>
  <c r="CF1744"/>
  <c r="CZ1744"/>
  <c r="FE1744"/>
  <c r="FG1744"/>
  <c r="AI1744"/>
  <c r="AJ1744"/>
  <c r="BS1744"/>
  <c r="CE1744"/>
  <c r="CO1744"/>
  <c r="CY1744"/>
  <c r="FI1744"/>
  <c r="FQ1744"/>
  <c r="EY1744"/>
  <c r="FA1744"/>
  <c r="EV1744"/>
  <c r="CA1744"/>
  <c r="FD1744"/>
  <c r="FK1744"/>
  <c r="FM1744"/>
  <c r="FO1744"/>
  <c r="ET1744"/>
  <c r="EJ1744"/>
  <c r="EF1744"/>
  <c r="EQ1744"/>
  <c r="V1744"/>
  <c r="AA1744"/>
  <c r="AK1744"/>
  <c r="AL1744"/>
  <c r="FF1744"/>
  <c r="EX1744"/>
  <c r="EO1744"/>
  <c r="EG1744"/>
  <c r="EH1744"/>
  <c r="ER1744"/>
  <c r="DZ1744"/>
  <c r="DV1744"/>
  <c r="Z1744"/>
  <c r="CW1744"/>
  <c r="FP1744"/>
  <c r="FB1744"/>
  <c r="EW1744"/>
  <c r="EE1744"/>
  <c r="EP1744"/>
  <c r="EI1744"/>
  <c r="ES1744"/>
  <c r="DP1744"/>
  <c r="DW1744"/>
  <c r="DS1744"/>
  <c r="ED1744"/>
  <c r="DG1744"/>
  <c r="DC1744"/>
  <c r="AJ1741"/>
  <c r="V1741"/>
  <c r="AK1741"/>
  <c r="AC1741"/>
  <c r="CC1741"/>
  <c r="CO1741"/>
  <c r="T1741"/>
  <c r="AA1741"/>
  <c r="AL1741"/>
  <c r="X1741"/>
  <c r="AM1741"/>
  <c r="CM1741"/>
  <c r="CE1741"/>
  <c r="Y1741"/>
  <c r="W1741"/>
  <c r="BY1741"/>
  <c r="BZ1741"/>
  <c r="CA1741"/>
  <c r="CL1741"/>
  <c r="CP1741"/>
  <c r="EK1741"/>
  <c r="EG1741"/>
  <c r="EP1741"/>
  <c r="EQ1741"/>
  <c r="EI1741"/>
  <c r="ES1741"/>
  <c r="DP1741"/>
  <c r="DW1741"/>
  <c r="DS1741"/>
  <c r="CD1741"/>
  <c r="CN1741"/>
  <c r="EM1741"/>
  <c r="DQ1741"/>
  <c r="EA1741"/>
  <c r="DX1741"/>
  <c r="DT1741"/>
  <c r="DA1741"/>
  <c r="DK1741"/>
  <c r="DD1741"/>
  <c r="U1740"/>
  <c r="W1740"/>
  <c r="BV1740"/>
  <c r="BW1740"/>
  <c r="CL1740"/>
  <c r="BX1740"/>
  <c r="CD1740"/>
  <c r="CX1740"/>
  <c r="BR1740"/>
  <c r="BT1740"/>
  <c r="AB1740"/>
  <c r="CB1740"/>
  <c r="CV1740"/>
  <c r="BY1740"/>
  <c r="CN1740"/>
  <c r="BZ1740"/>
  <c r="CF1740"/>
  <c r="CZ1740"/>
  <c r="FE1740"/>
  <c r="FG1740"/>
  <c r="FL1740"/>
  <c r="Z1740"/>
  <c r="BS1740"/>
  <c r="CY1740"/>
  <c r="FI1740"/>
  <c r="FQ1740"/>
  <c r="EY1740"/>
  <c r="FA1740"/>
  <c r="EV1740"/>
  <c r="X1740"/>
  <c r="AC1740"/>
  <c r="AM1740"/>
  <c r="CA1740"/>
  <c r="FD1740"/>
  <c r="FK1740"/>
  <c r="FM1740"/>
  <c r="FO1740"/>
  <c r="ET1740"/>
  <c r="EJ1740"/>
  <c r="EF1740"/>
  <c r="EQ1740"/>
  <c r="AI1740"/>
  <c r="FB1740"/>
  <c r="EW1740"/>
  <c r="EX1740"/>
  <c r="EE1740"/>
  <c r="EH1740"/>
  <c r="ER1740"/>
  <c r="DZ1740"/>
  <c r="DV1740"/>
  <c r="CW1740"/>
  <c r="CE1740"/>
  <c r="CP1740"/>
  <c r="FP1740"/>
  <c r="EZ1740"/>
  <c r="EU1740"/>
  <c r="EK1740"/>
  <c r="EP1740"/>
  <c r="EI1740"/>
  <c r="ES1740"/>
  <c r="DP1740"/>
  <c r="DW1740"/>
  <c r="DS1740"/>
  <c r="ED1740"/>
  <c r="DG1740"/>
  <c r="DC1740"/>
  <c r="T1737"/>
  <c r="AJ1737"/>
  <c r="V1737"/>
  <c r="AK1737"/>
  <c r="AC1737"/>
  <c r="CC1737"/>
  <c r="CO1737"/>
  <c r="AA1737"/>
  <c r="AL1737"/>
  <c r="X1737"/>
  <c r="AM1737"/>
  <c r="CM1737"/>
  <c r="CE1737"/>
  <c r="CL1737"/>
  <c r="CA1737"/>
  <c r="CB1737"/>
  <c r="CN1737"/>
  <c r="CF1737"/>
  <c r="CP1737"/>
  <c r="EK1737"/>
  <c r="EG1737"/>
  <c r="CD1737"/>
  <c r="EP1737"/>
  <c r="EI1737"/>
  <c r="ES1737"/>
  <c r="DP1737"/>
  <c r="DW1737"/>
  <c r="DS1737"/>
  <c r="W1737"/>
  <c r="BX1737"/>
  <c r="EO1737"/>
  <c r="EF1737"/>
  <c r="EM1737"/>
  <c r="DQ1737"/>
  <c r="EA1737"/>
  <c r="DX1737"/>
  <c r="DT1737"/>
  <c r="DA1737"/>
  <c r="DK1737"/>
  <c r="DD1737"/>
  <c r="W1736"/>
  <c r="BV1736"/>
  <c r="BW1736"/>
  <c r="CL1736"/>
  <c r="BX1736"/>
  <c r="CD1736"/>
  <c r="CX1736"/>
  <c r="BR1736"/>
  <c r="U1736"/>
  <c r="BT1736"/>
  <c r="AB1736"/>
  <c r="CB1736"/>
  <c r="CV1736"/>
  <c r="BY1736"/>
  <c r="CN1736"/>
  <c r="BZ1736"/>
  <c r="CF1736"/>
  <c r="CZ1736"/>
  <c r="FE1736"/>
  <c r="FG1736"/>
  <c r="FL1736"/>
  <c r="AI1736"/>
  <c r="BS1736"/>
  <c r="X1736"/>
  <c r="AC1736"/>
  <c r="AM1736"/>
  <c r="CY1736"/>
  <c r="FI1736"/>
  <c r="FQ1736"/>
  <c r="EY1736"/>
  <c r="FA1736"/>
  <c r="EV1736"/>
  <c r="V1736"/>
  <c r="AA1736"/>
  <c r="AK1736"/>
  <c r="AL1736"/>
  <c r="CC1736"/>
  <c r="CM1736"/>
  <c r="CA1736"/>
  <c r="FD1736"/>
  <c r="FJ1736"/>
  <c r="FK1736"/>
  <c r="FM1736"/>
  <c r="FO1736"/>
  <c r="ET1736"/>
  <c r="EJ1736"/>
  <c r="EF1736"/>
  <c r="EQ1736"/>
  <c r="Z1736"/>
  <c r="CE1736"/>
  <c r="CP1736"/>
  <c r="EZ1736"/>
  <c r="EU1736"/>
  <c r="EX1736"/>
  <c r="EK1736"/>
  <c r="EH1736"/>
  <c r="ER1736"/>
  <c r="DZ1736"/>
  <c r="DV1736"/>
  <c r="AJ1736"/>
  <c r="CW1736"/>
  <c r="CO1736"/>
  <c r="FP1736"/>
  <c r="FR1736"/>
  <c r="EP1736"/>
  <c r="EI1736"/>
  <c r="ES1736"/>
  <c r="DP1736"/>
  <c r="DW1736"/>
  <c r="DS1736"/>
  <c r="ED1736"/>
  <c r="DG1736"/>
  <c r="DC1736"/>
  <c r="AJ1733"/>
  <c r="V1733"/>
  <c r="AK1733"/>
  <c r="AC1733"/>
  <c r="CC1733"/>
  <c r="CO1733"/>
  <c r="T1733"/>
  <c r="AA1733"/>
  <c r="AL1733"/>
  <c r="X1733"/>
  <c r="AM1733"/>
  <c r="CM1733"/>
  <c r="CE1733"/>
  <c r="Y1733"/>
  <c r="CB1733"/>
  <c r="CN1733"/>
  <c r="CA1733"/>
  <c r="CF1733"/>
  <c r="AB1733"/>
  <c r="BW1733"/>
  <c r="BX1733"/>
  <c r="CD1733"/>
  <c r="CP1733"/>
  <c r="EK1733"/>
  <c r="EG1733"/>
  <c r="W1733"/>
  <c r="EO1733"/>
  <c r="EF1733"/>
  <c r="EP1733"/>
  <c r="EI1733"/>
  <c r="ES1733"/>
  <c r="DP1733"/>
  <c r="DW1733"/>
  <c r="DS1733"/>
  <c r="EE1733"/>
  <c r="EJ1733"/>
  <c r="EM1733"/>
  <c r="DQ1733"/>
  <c r="EA1733"/>
  <c r="DX1733"/>
  <c r="DT1733"/>
  <c r="DA1733"/>
  <c r="DK1733"/>
  <c r="DD1733"/>
  <c r="U1732"/>
  <c r="W1732"/>
  <c r="BV1732"/>
  <c r="BW1732"/>
  <c r="CL1732"/>
  <c r="BX1732"/>
  <c r="CD1732"/>
  <c r="CX1732"/>
  <c r="BR1732"/>
  <c r="BT1732"/>
  <c r="AB1732"/>
  <c r="CB1732"/>
  <c r="CV1732"/>
  <c r="BY1732"/>
  <c r="CN1732"/>
  <c r="BZ1732"/>
  <c r="CF1732"/>
  <c r="CZ1732"/>
  <c r="FE1732"/>
  <c r="FG1732"/>
  <c r="FL1732"/>
  <c r="Z1732"/>
  <c r="BS1732"/>
  <c r="V1732"/>
  <c r="AA1732"/>
  <c r="AK1732"/>
  <c r="AL1732"/>
  <c r="CC1732"/>
  <c r="CM1732"/>
  <c r="CY1732"/>
  <c r="FI1732"/>
  <c r="FJ1732"/>
  <c r="FQ1732"/>
  <c r="EY1732"/>
  <c r="FA1732"/>
  <c r="EV1732"/>
  <c r="AJ1732"/>
  <c r="CE1732"/>
  <c r="CO1732"/>
  <c r="CA1732"/>
  <c r="FD1732"/>
  <c r="FK1732"/>
  <c r="FM1732"/>
  <c r="FO1732"/>
  <c r="ET1732"/>
  <c r="EJ1732"/>
  <c r="EF1732"/>
  <c r="EQ1732"/>
  <c r="FR1732"/>
  <c r="EX1732"/>
  <c r="EH1732"/>
  <c r="ER1732"/>
  <c r="DZ1732"/>
  <c r="DV1732"/>
  <c r="CW1732"/>
  <c r="FF1732"/>
  <c r="FP1732"/>
  <c r="EO1732"/>
  <c r="EP1732"/>
  <c r="EG1732"/>
  <c r="EI1732"/>
  <c r="ES1732"/>
  <c r="DP1732"/>
  <c r="DW1732"/>
  <c r="DS1732"/>
  <c r="ED1732"/>
  <c r="DG1732"/>
  <c r="DC1732"/>
  <c r="T1729"/>
  <c r="AJ1729"/>
  <c r="V1729"/>
  <c r="AK1729"/>
  <c r="AC1729"/>
  <c r="CC1729"/>
  <c r="CO1729"/>
  <c r="AA1729"/>
  <c r="AL1729"/>
  <c r="X1729"/>
  <c r="AM1729"/>
  <c r="CM1729"/>
  <c r="CE1729"/>
  <c r="AB1729"/>
  <c r="BW1729"/>
  <c r="BX1729"/>
  <c r="CD1729"/>
  <c r="CA1729"/>
  <c r="W1729"/>
  <c r="BY1729"/>
  <c r="BZ1729"/>
  <c r="CP1729"/>
  <c r="EK1729"/>
  <c r="EG1729"/>
  <c r="CN1729"/>
  <c r="EE1729"/>
  <c r="EJ1729"/>
  <c r="EP1729"/>
  <c r="EI1729"/>
  <c r="ES1729"/>
  <c r="DP1729"/>
  <c r="DW1729"/>
  <c r="DS1729"/>
  <c r="EQ1729"/>
  <c r="EM1729"/>
  <c r="DQ1729"/>
  <c r="EA1729"/>
  <c r="DX1729"/>
  <c r="DT1729"/>
  <c r="DA1729"/>
  <c r="DK1729"/>
  <c r="DD1729"/>
  <c r="W1728"/>
  <c r="BV1728"/>
  <c r="BW1728"/>
  <c r="CL1728"/>
  <c r="BX1728"/>
  <c r="CD1728"/>
  <c r="CX1728"/>
  <c r="BR1728"/>
  <c r="U1728"/>
  <c r="BT1728"/>
  <c r="AB1728"/>
  <c r="CB1728"/>
  <c r="CV1728"/>
  <c r="BY1728"/>
  <c r="CN1728"/>
  <c r="BZ1728"/>
  <c r="CF1728"/>
  <c r="CZ1728"/>
  <c r="FE1728"/>
  <c r="FG1728"/>
  <c r="FL1728"/>
  <c r="AI1728"/>
  <c r="AJ1728"/>
  <c r="BS1728"/>
  <c r="BS1763" s="1"/>
  <c r="CE1728"/>
  <c r="CO1728"/>
  <c r="CY1728"/>
  <c r="FI1728"/>
  <c r="FQ1728"/>
  <c r="EY1728"/>
  <c r="FA1728"/>
  <c r="EV1728"/>
  <c r="CA1728"/>
  <c r="FD1728"/>
  <c r="FK1728"/>
  <c r="FM1728"/>
  <c r="FO1728"/>
  <c r="ET1728"/>
  <c r="EJ1728"/>
  <c r="EF1728"/>
  <c r="EQ1728"/>
  <c r="FF1728"/>
  <c r="EX1728"/>
  <c r="EO1728"/>
  <c r="EG1728"/>
  <c r="EH1728"/>
  <c r="ER1728"/>
  <c r="DZ1728"/>
  <c r="DV1728"/>
  <c r="X1728"/>
  <c r="AC1728"/>
  <c r="AM1728"/>
  <c r="CC1728"/>
  <c r="CM1728"/>
  <c r="CW1728"/>
  <c r="FJ1728"/>
  <c r="FP1728"/>
  <c r="FB1728"/>
  <c r="EW1728"/>
  <c r="EE1728"/>
  <c r="EP1728"/>
  <c r="EI1728"/>
  <c r="ES1728"/>
  <c r="DP1728"/>
  <c r="DW1728"/>
  <c r="DS1728"/>
  <c r="ED1728"/>
  <c r="DG1728"/>
  <c r="DC1728"/>
  <c r="EE1762"/>
  <c r="EO1762"/>
  <c r="EQ1762"/>
  <c r="EM1762"/>
  <c r="DQ1762"/>
  <c r="EA1762"/>
  <c r="EK1762"/>
  <c r="EL1762"/>
  <c r="EN1762"/>
  <c r="DU1762"/>
  <c r="DR1762"/>
  <c r="EB1762"/>
  <c r="DL1762"/>
  <c r="DH1762"/>
  <c r="FJ1761"/>
  <c r="FD1761"/>
  <c r="FG1761"/>
  <c r="FK1761"/>
  <c r="FM1761"/>
  <c r="FO1761"/>
  <c r="ET1761"/>
  <c r="FF1761"/>
  <c r="FR1761"/>
  <c r="EZ1761"/>
  <c r="FB1761"/>
  <c r="EU1761"/>
  <c r="EW1761"/>
  <c r="FE1761"/>
  <c r="FP1761"/>
  <c r="FI1761"/>
  <c r="FN1761"/>
  <c r="FA1761"/>
  <c r="EV1761"/>
  <c r="EE1758"/>
  <c r="EO1758"/>
  <c r="EK1758"/>
  <c r="EQ1758"/>
  <c r="EM1758"/>
  <c r="DQ1758"/>
  <c r="EA1758"/>
  <c r="EF1758"/>
  <c r="EL1758"/>
  <c r="EN1758"/>
  <c r="DU1758"/>
  <c r="DR1758"/>
  <c r="EB1758"/>
  <c r="DL1758"/>
  <c r="DH1758"/>
  <c r="FJ1757"/>
  <c r="FD1757"/>
  <c r="FK1757"/>
  <c r="FM1757"/>
  <c r="FO1757"/>
  <c r="ET1757"/>
  <c r="FF1757"/>
  <c r="FR1757"/>
  <c r="EZ1757"/>
  <c r="FB1757"/>
  <c r="EU1757"/>
  <c r="EW1757"/>
  <c r="FI1757"/>
  <c r="FP1757"/>
  <c r="FA1757"/>
  <c r="EV1757"/>
  <c r="FN1757"/>
  <c r="EY1757"/>
  <c r="EE1754"/>
  <c r="EO1754"/>
  <c r="EF1754"/>
  <c r="EQ1754"/>
  <c r="EM1754"/>
  <c r="DQ1754"/>
  <c r="EA1754"/>
  <c r="EJ1754"/>
  <c r="EG1754"/>
  <c r="EL1754"/>
  <c r="EN1754"/>
  <c r="DU1754"/>
  <c r="DR1754"/>
  <c r="EB1754"/>
  <c r="DL1754"/>
  <c r="DH1754"/>
  <c r="FJ1753"/>
  <c r="FD1753"/>
  <c r="FK1753"/>
  <c r="FM1753"/>
  <c r="FO1753"/>
  <c r="ET1753"/>
  <c r="FE1753"/>
  <c r="FF1753"/>
  <c r="FR1753"/>
  <c r="EZ1753"/>
  <c r="FB1753"/>
  <c r="EU1753"/>
  <c r="EW1753"/>
  <c r="FP1753"/>
  <c r="EY1753"/>
  <c r="FG1753"/>
  <c r="FN1753"/>
  <c r="FQ1753"/>
  <c r="EE1750"/>
  <c r="EO1750"/>
  <c r="EJ1750"/>
  <c r="EG1750"/>
  <c r="EQ1750"/>
  <c r="EM1750"/>
  <c r="DQ1750"/>
  <c r="EA1750"/>
  <c r="EL1750"/>
  <c r="EN1750"/>
  <c r="DU1750"/>
  <c r="DR1750"/>
  <c r="EB1750"/>
  <c r="DL1750"/>
  <c r="DH1750"/>
  <c r="FJ1749"/>
  <c r="FD1749"/>
  <c r="FE1749"/>
  <c r="FK1749"/>
  <c r="FM1749"/>
  <c r="FO1749"/>
  <c r="ET1749"/>
  <c r="FF1749"/>
  <c r="FG1749"/>
  <c r="FR1749"/>
  <c r="EZ1749"/>
  <c r="FB1749"/>
  <c r="EU1749"/>
  <c r="EW1749"/>
  <c r="FP1749"/>
  <c r="FQ1749"/>
  <c r="FN1749"/>
  <c r="EE1746"/>
  <c r="EO1746"/>
  <c r="EQ1746"/>
  <c r="EM1746"/>
  <c r="DQ1746"/>
  <c r="EA1746"/>
  <c r="EK1746"/>
  <c r="EL1746"/>
  <c r="EN1746"/>
  <c r="DU1746"/>
  <c r="DR1746"/>
  <c r="EB1746"/>
  <c r="DL1746"/>
  <c r="DH1746"/>
  <c r="FJ1745"/>
  <c r="FD1745"/>
  <c r="FG1745"/>
  <c r="FK1745"/>
  <c r="FM1745"/>
  <c r="FO1745"/>
  <c r="ET1745"/>
  <c r="FF1745"/>
  <c r="FR1745"/>
  <c r="EZ1745"/>
  <c r="FB1745"/>
  <c r="EU1745"/>
  <c r="EW1745"/>
  <c r="FP1745"/>
  <c r="FI1745"/>
  <c r="FN1745"/>
  <c r="FA1745"/>
  <c r="EV1745"/>
  <c r="EE1742"/>
  <c r="EO1742"/>
  <c r="EK1742"/>
  <c r="EM1742"/>
  <c r="DQ1742"/>
  <c r="EA1742"/>
  <c r="EF1742"/>
  <c r="EL1742"/>
  <c r="EN1742"/>
  <c r="DU1742"/>
  <c r="DR1742"/>
  <c r="EB1742"/>
  <c r="DL1742"/>
  <c r="DH1742"/>
  <c r="FJ1741"/>
  <c r="FD1741"/>
  <c r="FK1741"/>
  <c r="FM1741"/>
  <c r="FO1741"/>
  <c r="ET1741"/>
  <c r="FF1741"/>
  <c r="FR1741"/>
  <c r="EZ1741"/>
  <c r="FB1741"/>
  <c r="EU1741"/>
  <c r="EW1741"/>
  <c r="FG1741"/>
  <c r="FI1741"/>
  <c r="FP1741"/>
  <c r="FA1741"/>
  <c r="EV1741"/>
  <c r="FE1741"/>
  <c r="FN1741"/>
  <c r="EY1741"/>
  <c r="EE1738"/>
  <c r="EO1738"/>
  <c r="EF1738"/>
  <c r="EM1738"/>
  <c r="DQ1738"/>
  <c r="EA1738"/>
  <c r="EJ1738"/>
  <c r="EG1738"/>
  <c r="EL1738"/>
  <c r="EN1738"/>
  <c r="DU1738"/>
  <c r="DR1738"/>
  <c r="EB1738"/>
  <c r="DL1738"/>
  <c r="DH1738"/>
  <c r="FJ1737"/>
  <c r="FD1737"/>
  <c r="FK1737"/>
  <c r="FM1737"/>
  <c r="FO1737"/>
  <c r="ET1737"/>
  <c r="FE1737"/>
  <c r="FF1737"/>
  <c r="FL1737"/>
  <c r="FR1737"/>
  <c r="EZ1737"/>
  <c r="FB1737"/>
  <c r="EU1737"/>
  <c r="EW1737"/>
  <c r="FP1737"/>
  <c r="EY1737"/>
  <c r="FN1737"/>
  <c r="FQ1737"/>
  <c r="EE1734"/>
  <c r="EO1734"/>
  <c r="EJ1734"/>
  <c r="EG1734"/>
  <c r="EM1734"/>
  <c r="DQ1734"/>
  <c r="EA1734"/>
  <c r="EL1734"/>
  <c r="EQ1734"/>
  <c r="EN1734"/>
  <c r="DU1734"/>
  <c r="DR1734"/>
  <c r="EB1734"/>
  <c r="DL1734"/>
  <c r="DH1734"/>
  <c r="FJ1733"/>
  <c r="FD1733"/>
  <c r="FE1733"/>
  <c r="FK1733"/>
  <c r="FL1733"/>
  <c r="FM1733"/>
  <c r="FO1733"/>
  <c r="ET1733"/>
  <c r="FF1733"/>
  <c r="FG1733"/>
  <c r="FR1733"/>
  <c r="EZ1733"/>
  <c r="FB1733"/>
  <c r="EU1733"/>
  <c r="EW1733"/>
  <c r="FP1733"/>
  <c r="FQ1733"/>
  <c r="FN1733"/>
  <c r="EE1730"/>
  <c r="EO1730"/>
  <c r="EQ1730"/>
  <c r="EM1730"/>
  <c r="DQ1730"/>
  <c r="EA1730"/>
  <c r="EK1730"/>
  <c r="EL1730"/>
  <c r="EN1730"/>
  <c r="DU1730"/>
  <c r="DR1730"/>
  <c r="EB1730"/>
  <c r="DL1730"/>
  <c r="DH1730"/>
  <c r="FJ1729"/>
  <c r="FD1729"/>
  <c r="FG1729"/>
  <c r="FK1729"/>
  <c r="FM1729"/>
  <c r="FO1729"/>
  <c r="ET1729"/>
  <c r="FF1729"/>
  <c r="FR1729"/>
  <c r="EZ1729"/>
  <c r="FB1729"/>
  <c r="EU1729"/>
  <c r="EW1729"/>
  <c r="FE1729"/>
  <c r="FP1729"/>
  <c r="FI1729"/>
  <c r="FL1729"/>
  <c r="FN1729"/>
  <c r="FA1729"/>
  <c r="EV1729"/>
  <c r="EE1726"/>
  <c r="EO1726"/>
  <c r="EK1726"/>
  <c r="EM1726"/>
  <c r="DQ1726"/>
  <c r="EA1726"/>
  <c r="EF1726"/>
  <c r="EL1726"/>
  <c r="EN1726"/>
  <c r="DU1726"/>
  <c r="DR1726"/>
  <c r="EB1726"/>
  <c r="DL1726"/>
  <c r="DH1726"/>
  <c r="J1874"/>
  <c r="K1878"/>
  <c r="R2728"/>
  <c r="L2728"/>
  <c r="O2727"/>
  <c r="O2719" s="1"/>
  <c r="O2786" s="1"/>
  <c r="O2498" s="1"/>
  <c r="R2730"/>
  <c r="L2730"/>
  <c r="R2732"/>
  <c r="L2732"/>
  <c r="R2734"/>
  <c r="L2734"/>
  <c r="R2739"/>
  <c r="L2739"/>
  <c r="CT1763"/>
  <c r="FW1763"/>
  <c r="GC1763"/>
  <c r="GW1763"/>
  <c r="HC1763"/>
  <c r="AV1763"/>
  <c r="AB1781" s="1"/>
  <c r="K2509"/>
  <c r="G2503" s="1"/>
  <c r="BJ1763"/>
  <c r="AA1785" s="1"/>
  <c r="AP1763"/>
  <c r="G49" i="8"/>
  <c r="BF1763" i="35"/>
  <c r="CK1763"/>
  <c r="GG1763"/>
  <c r="GK1763"/>
  <c r="GS1763"/>
  <c r="HI1760"/>
  <c r="HI1756"/>
  <c r="HK1761"/>
  <c r="HK1757"/>
  <c r="HK1753"/>
  <c r="HK1749"/>
  <c r="HK1745"/>
  <c r="HK1741"/>
  <c r="HK1737"/>
  <c r="HK1733"/>
  <c r="HK1729"/>
  <c r="HK1725"/>
  <c r="BB1761"/>
  <c r="BB1757"/>
  <c r="BB1753"/>
  <c r="BB1749"/>
  <c r="BB1745"/>
  <c r="BB1741"/>
  <c r="BB1737"/>
  <c r="BB1733"/>
  <c r="BB1729"/>
  <c r="BB1725"/>
  <c r="BA1761"/>
  <c r="BA1757"/>
  <c r="BA1753"/>
  <c r="BA1749"/>
  <c r="BA1745"/>
  <c r="BA1741"/>
  <c r="BA1737"/>
  <c r="BA1733"/>
  <c r="BA1729"/>
  <c r="BA1725"/>
  <c r="AZ1761"/>
  <c r="AZ1757"/>
  <c r="AZ1753"/>
  <c r="AZ1749"/>
  <c r="AZ1745"/>
  <c r="AZ1741"/>
  <c r="AZ1737"/>
  <c r="AZ1733"/>
  <c r="AZ1729"/>
  <c r="AZ1725"/>
  <c r="AS1760"/>
  <c r="AS1756"/>
  <c r="AS1752"/>
  <c r="AS1748"/>
  <c r="AS1744"/>
  <c r="AS1740"/>
  <c r="AS1736"/>
  <c r="AS1732"/>
  <c r="AS1728"/>
  <c r="BQ1760"/>
  <c r="BQ1756"/>
  <c r="BQ1752"/>
  <c r="BQ1748"/>
  <c r="BQ1744"/>
  <c r="BQ1740"/>
  <c r="BQ1736"/>
  <c r="BQ1732"/>
  <c r="BQ1728"/>
  <c r="BP1760"/>
  <c r="BP1756"/>
  <c r="BP1752"/>
  <c r="BP1748"/>
  <c r="BP1744"/>
  <c r="BP1740"/>
  <c r="BP1736"/>
  <c r="BP1732"/>
  <c r="BP1728"/>
  <c r="BO1760"/>
  <c r="BO1756"/>
  <c r="BO1752"/>
  <c r="BO1748"/>
  <c r="BO1744"/>
  <c r="BO1740"/>
  <c r="BO1736"/>
  <c r="BO1732"/>
  <c r="BO1728"/>
  <c r="BN1760"/>
  <c r="BN1756"/>
  <c r="BN1752"/>
  <c r="BN1748"/>
  <c r="BN1744"/>
  <c r="BN1740"/>
  <c r="BN1736"/>
  <c r="BN1732"/>
  <c r="BN1728"/>
  <c r="BM1761"/>
  <c r="BM1757"/>
  <c r="BM1753"/>
  <c r="BM1749"/>
  <c r="BM1745"/>
  <c r="BM1741"/>
  <c r="BM1737"/>
  <c r="BM1733"/>
  <c r="BM1729"/>
  <c r="BM1725"/>
  <c r="DO1761"/>
  <c r="DO1757"/>
  <c r="DO1753"/>
  <c r="DO1749"/>
  <c r="DO1745"/>
  <c r="DO1741"/>
  <c r="DO1737"/>
  <c r="DO1733"/>
  <c r="DO1729"/>
  <c r="DO1725"/>
  <c r="DE1761"/>
  <c r="DE1757"/>
  <c r="DE1753"/>
  <c r="DE1749"/>
  <c r="DE1745"/>
  <c r="DE1741"/>
  <c r="DE1737"/>
  <c r="DE1733"/>
  <c r="DE1729"/>
  <c r="DE1725"/>
  <c r="DN1760"/>
  <c r="DN1756"/>
  <c r="DN1752"/>
  <c r="DN1748"/>
  <c r="DN1744"/>
  <c r="DN1740"/>
  <c r="DN1736"/>
  <c r="DN1732"/>
  <c r="DN1728"/>
  <c r="DI1762"/>
  <c r="DI1758"/>
  <c r="DI1754"/>
  <c r="DI1750"/>
  <c r="DI1746"/>
  <c r="DI1742"/>
  <c r="DI1738"/>
  <c r="DI1734"/>
  <c r="DI1730"/>
  <c r="DI1726"/>
  <c r="DD1754"/>
  <c r="DD1748"/>
  <c r="DD1738"/>
  <c r="DD1732"/>
  <c r="DM1760"/>
  <c r="DM1756"/>
  <c r="DM1752"/>
  <c r="DM1748"/>
  <c r="DM1744"/>
  <c r="DM1740"/>
  <c r="DM1736"/>
  <c r="DM1732"/>
  <c r="DM1728"/>
  <c r="DH1757"/>
  <c r="DH1752"/>
  <c r="DH1741"/>
  <c r="DH1736"/>
  <c r="DH1725"/>
  <c r="DC1758"/>
  <c r="DC1753"/>
  <c r="DC1742"/>
  <c r="DC1737"/>
  <c r="DC1726"/>
  <c r="DL1753"/>
  <c r="DL1748"/>
  <c r="DL1737"/>
  <c r="DL1732"/>
  <c r="DG1754"/>
  <c r="DG1749"/>
  <c r="DG1738"/>
  <c r="DG1733"/>
  <c r="DB1761"/>
  <c r="DB1757"/>
  <c r="DB1753"/>
  <c r="DB1749"/>
  <c r="DB1745"/>
  <c r="DB1741"/>
  <c r="DB1737"/>
  <c r="DB1733"/>
  <c r="DB1729"/>
  <c r="DB1725"/>
  <c r="DK1758"/>
  <c r="DK1752"/>
  <c r="DK1742"/>
  <c r="DK1736"/>
  <c r="DK1726"/>
  <c r="DA1760"/>
  <c r="DA1750"/>
  <c r="DA1744"/>
  <c r="DA1734"/>
  <c r="DA1728"/>
  <c r="ED1762"/>
  <c r="ED1757"/>
  <c r="ED1746"/>
  <c r="ED1741"/>
  <c r="ED1730"/>
  <c r="ED1725"/>
  <c r="DT1760"/>
  <c r="DT1750"/>
  <c r="DT1744"/>
  <c r="DT1734"/>
  <c r="DT1728"/>
  <c r="EC1761"/>
  <c r="EC1757"/>
  <c r="EC1753"/>
  <c r="EC1749"/>
  <c r="EC1745"/>
  <c r="EC1741"/>
  <c r="EC1737"/>
  <c r="EC1733"/>
  <c r="EC1729"/>
  <c r="EC1725"/>
  <c r="DX1758"/>
  <c r="DX1752"/>
  <c r="DX1742"/>
  <c r="DX1736"/>
  <c r="DX1726"/>
  <c r="EB1753"/>
  <c r="EB1748"/>
  <c r="EB1737"/>
  <c r="EB1732"/>
  <c r="DW1758"/>
  <c r="DW1750"/>
  <c r="DW1742"/>
  <c r="DW1734"/>
  <c r="DW1726"/>
  <c r="DR1757"/>
  <c r="DR1752"/>
  <c r="DR1741"/>
  <c r="DR1736"/>
  <c r="DR1725"/>
  <c r="EA1756"/>
  <c r="EA1748"/>
  <c r="EA1740"/>
  <c r="EA1732"/>
  <c r="DV1762"/>
  <c r="DV1757"/>
  <c r="DV1746"/>
  <c r="DV1741"/>
  <c r="DV1730"/>
  <c r="DV1725"/>
  <c r="DZ1761"/>
  <c r="DZ1750"/>
  <c r="DZ1745"/>
  <c r="DZ1734"/>
  <c r="DZ1729"/>
  <c r="DU1761"/>
  <c r="DU1756"/>
  <c r="DU1745"/>
  <c r="DU1740"/>
  <c r="DU1729"/>
  <c r="DP1762"/>
  <c r="DP1754"/>
  <c r="DP1746"/>
  <c r="DP1738"/>
  <c r="DP1730"/>
  <c r="ES1762"/>
  <c r="ES1754"/>
  <c r="ES1746"/>
  <c r="ES1738"/>
  <c r="ES1730"/>
  <c r="EN1760"/>
  <c r="EN1749"/>
  <c r="EN1744"/>
  <c r="EN1733"/>
  <c r="EN1728"/>
  <c r="ER1754"/>
  <c r="ER1749"/>
  <c r="ER1738"/>
  <c r="ER1733"/>
  <c r="EH1758"/>
  <c r="EH1753"/>
  <c r="EH1742"/>
  <c r="EH1737"/>
  <c r="EH1726"/>
  <c r="EQ1756"/>
  <c r="EQ1748"/>
  <c r="EQ1733"/>
  <c r="EL1761"/>
  <c r="EL1756"/>
  <c r="EL1745"/>
  <c r="EL1740"/>
  <c r="EL1729"/>
  <c r="EG1762"/>
  <c r="EG1746"/>
  <c r="EG1730"/>
  <c r="EK1748"/>
  <c r="EK1732"/>
  <c r="EF1762"/>
  <c r="EF1746"/>
  <c r="EF1730"/>
  <c r="EO1761"/>
  <c r="EO1745"/>
  <c r="EO1729"/>
  <c r="EJ1753"/>
  <c r="EJ1737"/>
  <c r="EE1757"/>
  <c r="EE1741"/>
  <c r="EE1725"/>
  <c r="EX1753"/>
  <c r="EX1737"/>
  <c r="EW1732"/>
  <c r="EV1737"/>
  <c r="EU1748"/>
  <c r="FC1761"/>
  <c r="FC1757"/>
  <c r="FC1753"/>
  <c r="FC1749"/>
  <c r="FC1745"/>
  <c r="FC1741"/>
  <c r="FC1737"/>
  <c r="FC1733"/>
  <c r="FC1729"/>
  <c r="FC1725"/>
  <c r="FB1732"/>
  <c r="FA1737"/>
  <c r="EZ1748"/>
  <c r="EY1749"/>
  <c r="FR1756"/>
  <c r="FQ1757"/>
  <c r="FQ1725"/>
  <c r="FN1760"/>
  <c r="FN1744"/>
  <c r="FN1728"/>
  <c r="FL1760"/>
  <c r="FL1756"/>
  <c r="FL1752"/>
  <c r="FL1748"/>
  <c r="FL1744"/>
  <c r="FJ1744"/>
  <c r="FI1749"/>
  <c r="FH1761"/>
  <c r="FH1757"/>
  <c r="FH1753"/>
  <c r="FH1749"/>
  <c r="FH1745"/>
  <c r="FH1741"/>
  <c r="FH1737"/>
  <c r="FH1733"/>
  <c r="FH1729"/>
  <c r="FH1725"/>
  <c r="FG1757"/>
  <c r="FF1740"/>
  <c r="FE1745"/>
  <c r="CP1748"/>
  <c r="CF1741"/>
  <c r="CE1752"/>
  <c r="BZ1733"/>
  <c r="CN1757"/>
  <c r="CD1725"/>
  <c r="CC1744"/>
  <c r="BX1741"/>
  <c r="CL1729"/>
  <c r="CB1761"/>
  <c r="BW1741"/>
  <c r="J1852"/>
  <c r="N1852"/>
  <c r="AC1744"/>
  <c r="X1732"/>
  <c r="AA1740"/>
  <c r="AJ1740"/>
  <c r="Z1756"/>
  <c r="AI1732"/>
  <c r="E14" i="8"/>
  <c r="AG1763" i="35"/>
  <c r="CG1763"/>
  <c r="FY1763"/>
  <c r="GA1763"/>
  <c r="GM1763"/>
  <c r="HE1763"/>
  <c r="AT1760"/>
  <c r="AT1756"/>
  <c r="AT1752"/>
  <c r="AT1748"/>
  <c r="AT1744"/>
  <c r="AT1740"/>
  <c r="AT1736"/>
  <c r="AT1732"/>
  <c r="AT1728"/>
  <c r="AS1761"/>
  <c r="AS1757"/>
  <c r="AS1753"/>
  <c r="AS1749"/>
  <c r="AS1745"/>
  <c r="AS1741"/>
  <c r="AS1737"/>
  <c r="AS1733"/>
  <c r="AS1729"/>
  <c r="AS1725"/>
  <c r="BQ1761"/>
  <c r="BQ1757"/>
  <c r="BQ1753"/>
  <c r="BQ1749"/>
  <c r="BQ1745"/>
  <c r="BQ1741"/>
  <c r="BQ1737"/>
  <c r="BQ1733"/>
  <c r="BQ1729"/>
  <c r="BQ1725"/>
  <c r="BP1761"/>
  <c r="BP1757"/>
  <c r="BP1753"/>
  <c r="BP1749"/>
  <c r="BP1745"/>
  <c r="BP1741"/>
  <c r="BP1737"/>
  <c r="BP1733"/>
  <c r="BP1729"/>
  <c r="BP1725"/>
  <c r="BO1761"/>
  <c r="BO1757"/>
  <c r="BO1753"/>
  <c r="BO1749"/>
  <c r="BO1745"/>
  <c r="BO1741"/>
  <c r="BO1737"/>
  <c r="BO1733"/>
  <c r="BO1729"/>
  <c r="BO1725"/>
  <c r="BN1725"/>
  <c r="BH1760"/>
  <c r="BH1756"/>
  <c r="BH1752"/>
  <c r="BH1748"/>
  <c r="BH1744"/>
  <c r="BH1740"/>
  <c r="BH1736"/>
  <c r="BH1732"/>
  <c r="BH1728"/>
  <c r="DO1762"/>
  <c r="DO1758"/>
  <c r="DO1754"/>
  <c r="DO1750"/>
  <c r="DO1746"/>
  <c r="DO1742"/>
  <c r="DO1738"/>
  <c r="DO1734"/>
  <c r="DO1730"/>
  <c r="DO1726"/>
  <c r="DJ1760"/>
  <c r="DJ1756"/>
  <c r="DJ1752"/>
  <c r="DJ1748"/>
  <c r="DJ1744"/>
  <c r="DJ1740"/>
  <c r="DJ1736"/>
  <c r="DJ1732"/>
  <c r="DJ1728"/>
  <c r="DE1762"/>
  <c r="DE1758"/>
  <c r="DE1754"/>
  <c r="DE1750"/>
  <c r="DE1746"/>
  <c r="DE1742"/>
  <c r="DE1738"/>
  <c r="DE1734"/>
  <c r="DE1730"/>
  <c r="DE1726"/>
  <c r="DN1761"/>
  <c r="DN1757"/>
  <c r="DN1753"/>
  <c r="DN1749"/>
  <c r="DN1745"/>
  <c r="DN1741"/>
  <c r="DN1737"/>
  <c r="DN1733"/>
  <c r="DN1729"/>
  <c r="DN1725"/>
  <c r="DD1760"/>
  <c r="DD1750"/>
  <c r="DD1744"/>
  <c r="DD1734"/>
  <c r="DD1728"/>
  <c r="DM1761"/>
  <c r="DM1757"/>
  <c r="DM1753"/>
  <c r="DM1749"/>
  <c r="DM1745"/>
  <c r="DM1741"/>
  <c r="DM1737"/>
  <c r="DM1733"/>
  <c r="DM1729"/>
  <c r="DM1725"/>
  <c r="DH1753"/>
  <c r="DH1748"/>
  <c r="DH1737"/>
  <c r="DH1732"/>
  <c r="DC1754"/>
  <c r="DC1749"/>
  <c r="DC1738"/>
  <c r="DC1733"/>
  <c r="DL1760"/>
  <c r="DL1749"/>
  <c r="DL1744"/>
  <c r="DL1733"/>
  <c r="DL1728"/>
  <c r="DG1761"/>
  <c r="DG1750"/>
  <c r="DG1745"/>
  <c r="DG1734"/>
  <c r="DG1729"/>
  <c r="DB1762"/>
  <c r="DB1758"/>
  <c r="DB1754"/>
  <c r="DB1750"/>
  <c r="DB1746"/>
  <c r="DB1742"/>
  <c r="DB1738"/>
  <c r="DB1734"/>
  <c r="DB1730"/>
  <c r="DB1726"/>
  <c r="DK1754"/>
  <c r="DK1748"/>
  <c r="DK1738"/>
  <c r="DK1732"/>
  <c r="DF1760"/>
  <c r="DF1756"/>
  <c r="DF1752"/>
  <c r="DF1748"/>
  <c r="DF1744"/>
  <c r="DF1740"/>
  <c r="DF1736"/>
  <c r="DF1732"/>
  <c r="DF1728"/>
  <c r="DA1762"/>
  <c r="DA1756"/>
  <c r="DA1746"/>
  <c r="DA1740"/>
  <c r="DA1730"/>
  <c r="ED1758"/>
  <c r="ED1753"/>
  <c r="ED1742"/>
  <c r="ED1737"/>
  <c r="ED1726"/>
  <c r="DY1760"/>
  <c r="DY1756"/>
  <c r="DY1752"/>
  <c r="DY1748"/>
  <c r="DY1744"/>
  <c r="DY1740"/>
  <c r="DY1736"/>
  <c r="DY1732"/>
  <c r="DY1728"/>
  <c r="DT1762"/>
  <c r="DT1756"/>
  <c r="DT1746"/>
  <c r="DT1740"/>
  <c r="DT1730"/>
  <c r="EC1762"/>
  <c r="EC1758"/>
  <c r="EC1754"/>
  <c r="EC1750"/>
  <c r="EC1746"/>
  <c r="EC1742"/>
  <c r="EC1738"/>
  <c r="EC1734"/>
  <c r="EC1730"/>
  <c r="EC1726"/>
  <c r="DX1754"/>
  <c r="DX1748"/>
  <c r="DX1738"/>
  <c r="DX1732"/>
  <c r="DS1761"/>
  <c r="DS1754"/>
  <c r="DS1746"/>
  <c r="DS1738"/>
  <c r="DS1730"/>
  <c r="EB1760"/>
  <c r="EB1749"/>
  <c r="EB1744"/>
  <c r="EB1733"/>
  <c r="EB1728"/>
  <c r="DR1753"/>
  <c r="DR1748"/>
  <c r="DR1737"/>
  <c r="DR1732"/>
  <c r="DV1758"/>
  <c r="DV1753"/>
  <c r="DV1742"/>
  <c r="DV1737"/>
  <c r="DV1726"/>
  <c r="DQ1756"/>
  <c r="DQ1748"/>
  <c r="DQ1740"/>
  <c r="DQ1732"/>
  <c r="DZ1762"/>
  <c r="DZ1757"/>
  <c r="DZ1746"/>
  <c r="DZ1741"/>
  <c r="DZ1730"/>
  <c r="DZ1725"/>
  <c r="DU1757"/>
  <c r="DU1752"/>
  <c r="DU1741"/>
  <c r="DU1736"/>
  <c r="DU1725"/>
  <c r="EN1761"/>
  <c r="EN1756"/>
  <c r="EN1745"/>
  <c r="EN1740"/>
  <c r="EN1729"/>
  <c r="EI1762"/>
  <c r="EI1754"/>
  <c r="EI1746"/>
  <c r="EI1738"/>
  <c r="EI1730"/>
  <c r="ER1761"/>
  <c r="ER1750"/>
  <c r="ER1745"/>
  <c r="ER1734"/>
  <c r="ER1729"/>
  <c r="EM1760"/>
  <c r="EM1752"/>
  <c r="EM1744"/>
  <c r="EM1736"/>
  <c r="EM1728"/>
  <c r="EH1754"/>
  <c r="EH1749"/>
  <c r="EH1738"/>
  <c r="EH1733"/>
  <c r="EQ1742"/>
  <c r="EQ1726"/>
  <c r="EL1757"/>
  <c r="EL1752"/>
  <c r="EL1741"/>
  <c r="EL1736"/>
  <c r="EL1725"/>
  <c r="EG1756"/>
  <c r="EG1740"/>
  <c r="EP1762"/>
  <c r="EP1754"/>
  <c r="EP1746"/>
  <c r="EP1738"/>
  <c r="EP1730"/>
  <c r="EK1750"/>
  <c r="EK1734"/>
  <c r="EF1757"/>
  <c r="EF1741"/>
  <c r="EF1725"/>
  <c r="EO1756"/>
  <c r="EO1740"/>
  <c r="EJ1762"/>
  <c r="EJ1746"/>
  <c r="EJ1730"/>
  <c r="EE1752"/>
  <c r="EE1736"/>
  <c r="EX1749"/>
  <c r="EX1733"/>
  <c r="EW1752"/>
  <c r="EV1733"/>
  <c r="EU1744"/>
  <c r="FB1752"/>
  <c r="FA1733"/>
  <c r="EZ1744"/>
  <c r="EY1745"/>
  <c r="FR1744"/>
  <c r="FQ1745"/>
  <c r="FN1756"/>
  <c r="FN1740"/>
  <c r="FL1761"/>
  <c r="FL1757"/>
  <c r="FL1753"/>
  <c r="FL1749"/>
  <c r="FL1745"/>
  <c r="FL1741"/>
  <c r="FJ1740"/>
  <c r="FI1737"/>
  <c r="FG1737"/>
  <c r="FF1736"/>
  <c r="FE1725"/>
  <c r="CP1744"/>
  <c r="CF1729"/>
  <c r="CN1745"/>
  <c r="CM1744"/>
  <c r="CC1740"/>
  <c r="CB1741"/>
  <c r="BW1737"/>
  <c r="J1830"/>
  <c r="N1830"/>
  <c r="AM1744"/>
  <c r="AC1732"/>
  <c r="BU1760"/>
  <c r="BU1756"/>
  <c r="BU1752"/>
  <c r="BU1748"/>
  <c r="BU1744"/>
  <c r="BU1740"/>
  <c r="BU1736"/>
  <c r="BU1732"/>
  <c r="BU1728"/>
  <c r="AL1760"/>
  <c r="AB1741"/>
  <c r="AK1760"/>
  <c r="AA1728"/>
  <c r="V1760"/>
  <c r="Z1752"/>
  <c r="Y1761"/>
  <c r="J1841"/>
  <c r="N1841"/>
  <c r="S1570"/>
  <c r="H1830"/>
  <c r="L1830"/>
  <c r="P1830"/>
  <c r="H1841"/>
  <c r="L1841"/>
  <c r="P1841"/>
  <c r="H1852"/>
  <c r="L1852"/>
  <c r="P1852"/>
  <c r="G1513"/>
  <c r="P1513"/>
  <c r="G1519"/>
  <c r="J1523"/>
  <c r="G1528"/>
  <c r="M1528"/>
  <c r="J1532"/>
  <c r="P1532"/>
  <c r="G1579"/>
  <c r="M1564"/>
  <c r="S1564"/>
  <c r="J1579"/>
  <c r="M1579"/>
  <c r="P1579"/>
  <c r="G1594"/>
  <c r="J1613"/>
  <c r="G1600"/>
  <c r="J1605"/>
  <c r="S1605"/>
  <c r="S1613"/>
  <c r="M1613"/>
  <c r="U1616"/>
  <c r="M1617"/>
  <c r="S1617"/>
  <c r="A1593"/>
  <c r="P1633"/>
  <c r="P1637" s="1"/>
  <c r="J1654"/>
  <c r="P1860"/>
  <c r="E1529"/>
  <c r="A1511"/>
  <c r="S1523"/>
  <c r="G1564"/>
  <c r="J1528"/>
  <c r="S1528"/>
  <c r="G1532"/>
  <c r="B1535" s="1"/>
  <c r="S1532"/>
  <c r="P1570"/>
  <c r="A1592"/>
  <c r="U1599"/>
  <c r="P1605"/>
  <c r="P1613"/>
  <c r="J1617"/>
  <c r="A1512"/>
  <c r="A1578"/>
  <c r="U1612"/>
  <c r="J54"/>
  <c r="A3" i="38"/>
  <c r="I84" i="8"/>
  <c r="H84"/>
  <c r="C84"/>
  <c r="K49"/>
  <c r="F49"/>
  <c r="C49"/>
  <c r="G14"/>
  <c r="J14"/>
  <c r="K1914" i="35"/>
  <c r="B1984"/>
  <c r="C2020"/>
  <c r="J1915"/>
  <c r="G1914"/>
  <c r="D1986"/>
  <c r="E2021"/>
  <c r="AE1763"/>
  <c r="GH1763"/>
  <c r="D49" i="8"/>
  <c r="J49"/>
  <c r="D84"/>
  <c r="G84"/>
  <c r="B84"/>
  <c r="I14"/>
  <c r="C14"/>
  <c r="H49"/>
  <c r="I49"/>
  <c r="B49"/>
  <c r="E84"/>
  <c r="F119"/>
  <c r="E119"/>
  <c r="B119"/>
  <c r="D1914" i="35"/>
  <c r="G1986"/>
  <c r="D30" i="8"/>
  <c r="E33" i="15"/>
  <c r="CS1763" i="35"/>
  <c r="FS1763"/>
  <c r="FZ1763"/>
  <c r="GB1763"/>
  <c r="GV1763"/>
  <c r="GY1763"/>
  <c r="HF1763"/>
  <c r="HH1763"/>
  <c r="E1916"/>
  <c r="C1914"/>
  <c r="GJ1763"/>
  <c r="HD1763"/>
  <c r="HG1763"/>
  <c r="H14" i="8"/>
  <c r="F14"/>
  <c r="F84"/>
  <c r="K84"/>
  <c r="C119"/>
  <c r="C32"/>
  <c r="AR1763" i="35"/>
  <c r="CJ1763"/>
  <c r="GF1763"/>
  <c r="GI1763"/>
  <c r="GP1763"/>
  <c r="GR1763"/>
  <c r="I1916"/>
  <c r="F1915"/>
  <c r="F1984"/>
  <c r="F128" i="8"/>
  <c r="F144" s="1"/>
  <c r="K93"/>
  <c r="E93"/>
  <c r="E108" s="1"/>
  <c r="K58"/>
  <c r="G58"/>
  <c r="C58"/>
  <c r="I23"/>
  <c r="I37" s="1"/>
  <c r="E23"/>
  <c r="E38" s="1"/>
  <c r="F2016" i="35"/>
  <c r="F2027" s="1"/>
  <c r="B2016"/>
  <c r="H1981"/>
  <c r="H1992" s="1"/>
  <c r="D1981"/>
  <c r="D1992" s="1"/>
  <c r="J1946"/>
  <c r="J1957" s="1"/>
  <c r="F1946"/>
  <c r="B1946"/>
  <c r="B1957" s="1"/>
  <c r="H1911"/>
  <c r="H1922" s="1"/>
  <c r="D1911"/>
  <c r="D1922" s="1"/>
  <c r="C128" i="8"/>
  <c r="F93"/>
  <c r="F107" s="1"/>
  <c r="B93"/>
  <c r="H58"/>
  <c r="H71" s="1"/>
  <c r="D58"/>
  <c r="J23"/>
  <c r="J38" s="1"/>
  <c r="F23"/>
  <c r="B23"/>
  <c r="C2016" i="35"/>
  <c r="C2027" s="1"/>
  <c r="I1981"/>
  <c r="I1992" s="1"/>
  <c r="E1981"/>
  <c r="E1992" s="1"/>
  <c r="K1946"/>
  <c r="K1957" s="1"/>
  <c r="G1946"/>
  <c r="C1946"/>
  <c r="C1960" s="1"/>
  <c r="I1911"/>
  <c r="I1922" s="1"/>
  <c r="E1911"/>
  <c r="E1922" s="1"/>
  <c r="E128" i="8"/>
  <c r="E140" s="1"/>
  <c r="G93"/>
  <c r="G108" s="1"/>
  <c r="C93"/>
  <c r="I58"/>
  <c r="E58"/>
  <c r="K23"/>
  <c r="G23"/>
  <c r="C23"/>
  <c r="M385" i="35"/>
  <c r="D2016"/>
  <c r="D2027" s="1"/>
  <c r="J1981"/>
  <c r="J1997" s="1"/>
  <c r="F1981"/>
  <c r="F1994" s="1"/>
  <c r="B1981"/>
  <c r="H1946"/>
  <c r="H1960" s="1"/>
  <c r="D1946"/>
  <c r="D1961" s="1"/>
  <c r="J1911"/>
  <c r="J1925" s="1"/>
  <c r="F1911"/>
  <c r="F1925" s="1"/>
  <c r="B1911"/>
  <c r="I93" i="8"/>
  <c r="D93"/>
  <c r="J58"/>
  <c r="F58"/>
  <c r="F71" s="1"/>
  <c r="B58"/>
  <c r="H23"/>
  <c r="D23"/>
  <c r="E2016" i="35"/>
  <c r="E2027" s="1"/>
  <c r="K1981"/>
  <c r="G1981"/>
  <c r="G1996" s="1"/>
  <c r="C1981"/>
  <c r="I1946"/>
  <c r="I1960" s="1"/>
  <c r="E1946"/>
  <c r="K1911"/>
  <c r="G1911"/>
  <c r="C1911"/>
  <c r="FX1763"/>
  <c r="I1925"/>
  <c r="E1994"/>
  <c r="CI1763"/>
  <c r="CU1763"/>
  <c r="FT1763"/>
  <c r="GN1763"/>
  <c r="GQ1763"/>
  <c r="GX1763"/>
  <c r="GZ1763"/>
  <c r="H1923"/>
  <c r="BK1763"/>
  <c r="K1785" s="1"/>
  <c r="CA1763"/>
  <c r="AC1807" s="1"/>
  <c r="F1530"/>
  <c r="U1593"/>
  <c r="AU1763"/>
  <c r="J1781" s="1"/>
  <c r="AX1763"/>
  <c r="Y1780" s="1"/>
  <c r="BI1763"/>
  <c r="Z1785" s="1"/>
  <c r="B2029"/>
  <c r="CQ1763"/>
  <c r="FV1763"/>
  <c r="GD1763"/>
  <c r="GL1763"/>
  <c r="GT1763"/>
  <c r="HB1763"/>
  <c r="HJ1763"/>
  <c r="AW1763"/>
  <c r="L1781" s="1"/>
  <c r="J1513"/>
  <c r="M1513"/>
  <c r="S1519"/>
  <c r="S1513"/>
  <c r="U1551"/>
  <c r="J1552"/>
  <c r="M1552"/>
  <c r="P1552"/>
  <c r="S1552"/>
  <c r="J1564"/>
  <c r="P1564"/>
  <c r="J1570"/>
  <c r="M1570"/>
  <c r="S1579"/>
  <c r="S1594"/>
  <c r="S1600"/>
  <c r="M1605"/>
  <c r="G1613"/>
  <c r="J1633"/>
  <c r="J1637" s="1"/>
  <c r="F1861"/>
  <c r="F1881"/>
  <c r="K1868"/>
  <c r="D1959"/>
  <c r="B1994"/>
  <c r="J1995"/>
  <c r="B2032"/>
  <c r="F1962"/>
  <c r="H1926"/>
  <c r="AF1763"/>
  <c r="AO1763"/>
  <c r="BC1763"/>
  <c r="BG1763"/>
  <c r="B37" i="8"/>
  <c r="B70"/>
  <c r="C141"/>
  <c r="AD1763" i="35"/>
  <c r="AH1763"/>
  <c r="AQ1763"/>
  <c r="BE1763"/>
  <c r="CH1763"/>
  <c r="L1763"/>
  <c r="L1764" s="1"/>
  <c r="G1817" s="1"/>
  <c r="G1605"/>
  <c r="C1605" s="1"/>
  <c r="F1602"/>
  <c r="G1617"/>
  <c r="A1616"/>
  <c r="AI1725"/>
  <c r="U1725"/>
  <c r="Z1725"/>
  <c r="T1762"/>
  <c r="Y1762"/>
  <c r="AI1761"/>
  <c r="U1761"/>
  <c r="T1760"/>
  <c r="Y1760"/>
  <c r="AI1759"/>
  <c r="U1759"/>
  <c r="T1758"/>
  <c r="Y1758"/>
  <c r="AI1757"/>
  <c r="U1757"/>
  <c r="T1756"/>
  <c r="Y1756"/>
  <c r="AI1755"/>
  <c r="U1755"/>
  <c r="T1754"/>
  <c r="Y1754"/>
  <c r="AI1753"/>
  <c r="U1753"/>
  <c r="T1752"/>
  <c r="Y1752"/>
  <c r="AI1751"/>
  <c r="U1751"/>
  <c r="Z1751"/>
  <c r="T1750"/>
  <c r="Y1750"/>
  <c r="AI1749"/>
  <c r="U1749"/>
  <c r="Z1749"/>
  <c r="T1748"/>
  <c r="Y1748"/>
  <c r="AI1747"/>
  <c r="U1747"/>
  <c r="Z1747"/>
  <c r="T1746"/>
  <c r="Y1746"/>
  <c r="AI1745"/>
  <c r="U1745"/>
  <c r="Z1745"/>
  <c r="T1744"/>
  <c r="Y1744"/>
  <c r="AI1743"/>
  <c r="U1743"/>
  <c r="Z1743"/>
  <c r="T1742"/>
  <c r="Y1742"/>
  <c r="AI1741"/>
  <c r="U1741"/>
  <c r="Z1741"/>
  <c r="T1740"/>
  <c r="Y1740"/>
  <c r="AI1739"/>
  <c r="U1739"/>
  <c r="Z1739"/>
  <c r="T1738"/>
  <c r="Y1738"/>
  <c r="AI1737"/>
  <c r="U1737"/>
  <c r="Z1737"/>
  <c r="T1736"/>
  <c r="Y1736"/>
  <c r="AI1735"/>
  <c r="U1735"/>
  <c r="Z1735"/>
  <c r="T1734"/>
  <c r="Y1734"/>
  <c r="AI1733"/>
  <c r="U1733"/>
  <c r="Z1733"/>
  <c r="T1732"/>
  <c r="Y1732"/>
  <c r="AI1731"/>
  <c r="U1731"/>
  <c r="Z1731"/>
  <c r="T1730"/>
  <c r="Y1730"/>
  <c r="AI1729"/>
  <c r="U1729"/>
  <c r="Z1729"/>
  <c r="T1728"/>
  <c r="Y1728"/>
  <c r="AI1727"/>
  <c r="U1727"/>
  <c r="Z1727"/>
  <c r="T1726"/>
  <c r="Y1726"/>
  <c r="G1552"/>
  <c r="G1570"/>
  <c r="J1651"/>
  <c r="J1653" s="1"/>
  <c r="G1958"/>
  <c r="B1910"/>
  <c r="U1511"/>
  <c r="U1592"/>
  <c r="H93" i="8"/>
  <c r="J93"/>
  <c r="B128"/>
  <c r="D128"/>
  <c r="AC92" i="36"/>
  <c r="F1960" i="35" l="1"/>
  <c r="C2032"/>
  <c r="H1924"/>
  <c r="H1927"/>
  <c r="G1927"/>
  <c r="E1962"/>
  <c r="C1996"/>
  <c r="K1997"/>
  <c r="B74" i="8"/>
  <c r="J71"/>
  <c r="I109"/>
  <c r="G37"/>
  <c r="C109"/>
  <c r="G1961" i="35"/>
  <c r="B107" i="8"/>
  <c r="F1959" i="35"/>
  <c r="B2030"/>
  <c r="CF1763"/>
  <c r="L1808" s="1"/>
  <c r="B1954"/>
  <c r="D1954"/>
  <c r="F1954"/>
  <c r="H1954"/>
  <c r="J1954"/>
  <c r="D1989"/>
  <c r="G1989"/>
  <c r="K1989"/>
  <c r="E2024"/>
  <c r="E1989"/>
  <c r="D1919"/>
  <c r="I1919"/>
  <c r="J1989"/>
  <c r="F1919"/>
  <c r="B1919"/>
  <c r="B1921" s="1"/>
  <c r="B46" i="8"/>
  <c r="B1934" i="35" s="1"/>
  <c r="C1954"/>
  <c r="E1954"/>
  <c r="G1954"/>
  <c r="I1954"/>
  <c r="K1954"/>
  <c r="F1989"/>
  <c r="I1989"/>
  <c r="C2024"/>
  <c r="B2024"/>
  <c r="H1989"/>
  <c r="B1989"/>
  <c r="G1919"/>
  <c r="K1919"/>
  <c r="D2024"/>
  <c r="C1919"/>
  <c r="C46" i="8"/>
  <c r="C1934" i="35" s="1"/>
  <c r="J1919"/>
  <c r="H404"/>
  <c r="S394"/>
  <c r="S395" s="1"/>
  <c r="H50" i="3"/>
  <c r="S40" s="1"/>
  <c r="B1996" i="35"/>
  <c r="J1655"/>
  <c r="G1957"/>
  <c r="E141" i="8"/>
  <c r="B2031" i="35"/>
  <c r="D1996"/>
  <c r="F1961"/>
  <c r="J1996"/>
  <c r="D1960"/>
  <c r="F1924"/>
  <c r="C2028"/>
  <c r="I1926"/>
  <c r="C1927"/>
  <c r="H51" i="3"/>
  <c r="D1926" i="35"/>
  <c r="H1997"/>
  <c r="B1962"/>
  <c r="BN1763"/>
  <c r="AZ1763"/>
  <c r="AA1780" s="1"/>
  <c r="CV1763"/>
  <c r="H1812" s="1"/>
  <c r="K76" i="36"/>
  <c r="Y79"/>
  <c r="AC80"/>
  <c r="I74"/>
  <c r="Y87"/>
  <c r="AD87" s="1"/>
  <c r="M89"/>
  <c r="AC58"/>
  <c r="Y80"/>
  <c r="Y81" s="1"/>
  <c r="K69"/>
  <c r="Z97"/>
  <c r="K73"/>
  <c r="AC76"/>
  <c r="AB77"/>
  <c r="H73"/>
  <c r="AC67"/>
  <c r="Z93"/>
  <c r="AC95"/>
  <c r="AB57"/>
  <c r="H58"/>
  <c r="Y71"/>
  <c r="AA65"/>
  <c r="AA67" s="1"/>
  <c r="J74"/>
  <c r="Z70"/>
  <c r="AA76"/>
  <c r="AC73"/>
  <c r="Z77"/>
  <c r="AB74"/>
  <c r="L1785" i="35"/>
  <c r="AA58" i="36"/>
  <c r="AA59" s="1"/>
  <c r="K60"/>
  <c r="L79"/>
  <c r="L81" s="1"/>
  <c r="H81"/>
  <c r="H77"/>
  <c r="H78" s="1"/>
  <c r="K59"/>
  <c r="I69"/>
  <c r="I71" s="1"/>
  <c r="AB79"/>
  <c r="AB81" s="1"/>
  <c r="AB70"/>
  <c r="AB71" s="1"/>
  <c r="H57"/>
  <c r="AD70"/>
  <c r="AB93"/>
  <c r="Y95"/>
  <c r="M57"/>
  <c r="AA60"/>
  <c r="J61"/>
  <c r="J63" s="1"/>
  <c r="L59"/>
  <c r="L61" s="1"/>
  <c r="L63" s="1"/>
  <c r="J75"/>
  <c r="Z79"/>
  <c r="AA80"/>
  <c r="AA81" s="1"/>
  <c r="K78"/>
  <c r="AC59"/>
  <c r="AC61" s="1"/>
  <c r="AC63" s="1"/>
  <c r="AA97"/>
  <c r="M62"/>
  <c r="H83" i="35" s="1"/>
  <c r="H97" i="36"/>
  <c r="Y97"/>
  <c r="L97"/>
  <c r="AC97"/>
  <c r="Y92"/>
  <c r="J77"/>
  <c r="J78" s="1"/>
  <c r="L78"/>
  <c r="H70"/>
  <c r="K75"/>
  <c r="L75"/>
  <c r="AC1781" i="35"/>
  <c r="L70" i="36"/>
  <c r="K71"/>
  <c r="B15" i="8"/>
  <c r="B16" s="1"/>
  <c r="K5" s="1"/>
  <c r="Z92" i="36"/>
  <c r="Z94" s="1"/>
  <c r="AB92"/>
  <c r="Z95"/>
  <c r="AD62"/>
  <c r="L69"/>
  <c r="H54" i="7"/>
  <c r="AB67" i="36"/>
  <c r="M85"/>
  <c r="Z71"/>
  <c r="AD71" s="1"/>
  <c r="AA92"/>
  <c r="AA95"/>
  <c r="M65"/>
  <c r="I51" i="7" s="1"/>
  <c r="M87" i="36"/>
  <c r="M88"/>
  <c r="AB58"/>
  <c r="I76"/>
  <c r="K80"/>
  <c r="K81" s="1"/>
  <c r="I73"/>
  <c r="I75" s="1"/>
  <c r="AD85"/>
  <c r="Q85" s="1"/>
  <c r="AD89"/>
  <c r="Q89" s="1"/>
  <c r="AD76"/>
  <c r="Z75"/>
  <c r="K61"/>
  <c r="K63" s="1"/>
  <c r="M60"/>
  <c r="Y93"/>
  <c r="AA93"/>
  <c r="AC93"/>
  <c r="AC94" s="1"/>
  <c r="AC96" s="1"/>
  <c r="AC98" s="1"/>
  <c r="AB95"/>
  <c r="AD69"/>
  <c r="I58"/>
  <c r="I59" s="1"/>
  <c r="Z60"/>
  <c r="AD60" s="1"/>
  <c r="J79"/>
  <c r="J81" s="1"/>
  <c r="H74"/>
  <c r="K94"/>
  <c r="K96" s="1"/>
  <c r="K98" s="1"/>
  <c r="AD73"/>
  <c r="AB75"/>
  <c r="AD58"/>
  <c r="I81"/>
  <c r="Y59"/>
  <c r="Y61" s="1"/>
  <c r="AC81"/>
  <c r="AB78"/>
  <c r="AA78"/>
  <c r="AC78"/>
  <c r="AA75"/>
  <c r="AC75"/>
  <c r="Z78"/>
  <c r="I1780" i="35"/>
  <c r="J94" i="36"/>
  <c r="J96" s="1"/>
  <c r="J98" s="1"/>
  <c r="L94"/>
  <c r="L96" s="1"/>
  <c r="L98" s="1"/>
  <c r="J71"/>
  <c r="H52" i="7"/>
  <c r="H81" i="35"/>
  <c r="H71" i="36"/>
  <c r="Y67"/>
  <c r="AD67" s="1"/>
  <c r="AD65"/>
  <c r="Y75"/>
  <c r="AD74"/>
  <c r="Z81"/>
  <c r="AD80"/>
  <c r="Y78"/>
  <c r="AD77"/>
  <c r="M95"/>
  <c r="P79" i="35" s="1"/>
  <c r="J1785"/>
  <c r="K1781"/>
  <c r="I1785"/>
  <c r="M66" i="36"/>
  <c r="I79" i="35" s="1"/>
  <c r="AB59" i="36"/>
  <c r="AB61" s="1"/>
  <c r="AB63" s="1"/>
  <c r="AD79"/>
  <c r="H1959" i="35"/>
  <c r="D1997"/>
  <c r="B1997"/>
  <c r="EJ1763"/>
  <c r="Y1795" s="1"/>
  <c r="EH1763"/>
  <c r="K1794" s="1"/>
  <c r="EN1763"/>
  <c r="L1795" s="1"/>
  <c r="DU1763"/>
  <c r="Y1792" s="1"/>
  <c r="EB1763"/>
  <c r="DF1763"/>
  <c r="Y1789" s="1"/>
  <c r="DN1763"/>
  <c r="DJ1763"/>
  <c r="L1789" s="1"/>
  <c r="BP1763"/>
  <c r="AB1784" s="1"/>
  <c r="DI1763"/>
  <c r="K1789" s="1"/>
  <c r="BA1763"/>
  <c r="AB1780" s="1"/>
  <c r="AB1782" s="1"/>
  <c r="HK1763"/>
  <c r="AL1763"/>
  <c r="AB1775" s="1"/>
  <c r="CB1763"/>
  <c r="H1808" s="1"/>
  <c r="CZ1763"/>
  <c r="L1812" s="1"/>
  <c r="C1958"/>
  <c r="Y1763"/>
  <c r="Y1773" s="1"/>
  <c r="L1807"/>
  <c r="J1961"/>
  <c r="I1959"/>
  <c r="BR1763"/>
  <c r="Y1777" s="1"/>
  <c r="G1901"/>
  <c r="F1902"/>
  <c r="F1909"/>
  <c r="F1907"/>
  <c r="F1903"/>
  <c r="E1904"/>
  <c r="E1910"/>
  <c r="E1921" s="1"/>
  <c r="E49" i="8"/>
  <c r="D119"/>
  <c r="J84"/>
  <c r="K14"/>
  <c r="D14"/>
  <c r="I50" i="7"/>
  <c r="Z59" i="36"/>
  <c r="AD57"/>
  <c r="H80" i="35"/>
  <c r="H51" i="7"/>
  <c r="I1923" i="35"/>
  <c r="B1995"/>
  <c r="K1995"/>
  <c r="AS1763"/>
  <c r="Y1781" s="1"/>
  <c r="Y1782" s="1"/>
  <c r="AA1763"/>
  <c r="J1773" s="1"/>
  <c r="FC1763"/>
  <c r="L1801" s="1"/>
  <c r="DE1763"/>
  <c r="AC1788" s="1"/>
  <c r="DL1763"/>
  <c r="FG1763"/>
  <c r="AB1804" s="1"/>
  <c r="CL1763"/>
  <c r="Y1810" s="1"/>
  <c r="CP1763"/>
  <c r="L1810" s="1"/>
  <c r="EX1763"/>
  <c r="AC1800" s="1"/>
  <c r="BY1763"/>
  <c r="J1807" s="1"/>
  <c r="BT1763"/>
  <c r="AA1777" s="1"/>
  <c r="CD1763"/>
  <c r="J1808" s="1"/>
  <c r="CO1763"/>
  <c r="K1810" s="1"/>
  <c r="V1763"/>
  <c r="J1772" s="1"/>
  <c r="J1774" s="1"/>
  <c r="BW1763"/>
  <c r="Y1807" s="1"/>
  <c r="CM1763"/>
  <c r="I1810" s="1"/>
  <c r="EK1763"/>
  <c r="Z1795" s="1"/>
  <c r="CX1763"/>
  <c r="AA1812" s="1"/>
  <c r="BV1763"/>
  <c r="L1777" s="1"/>
  <c r="X1763"/>
  <c r="AC1772" s="1"/>
  <c r="AC1763"/>
  <c r="AC1773" s="1"/>
  <c r="AJ1763"/>
  <c r="Z1775" s="1"/>
  <c r="M67" i="36"/>
  <c r="AD88"/>
  <c r="AD86"/>
  <c r="P6"/>
  <c r="O3"/>
  <c r="J55" i="35"/>
  <c r="O1718"/>
  <c r="P1721"/>
  <c r="I80"/>
  <c r="F1995"/>
  <c r="E2032"/>
  <c r="DY1763"/>
  <c r="AC1792" s="1"/>
  <c r="BH1763"/>
  <c r="Y1785" s="1"/>
  <c r="ER1763"/>
  <c r="DR1763"/>
  <c r="AA1791" s="1"/>
  <c r="DX1763"/>
  <c r="AB1792" s="1"/>
  <c r="DC1763"/>
  <c r="AA1788" s="1"/>
  <c r="BB1763"/>
  <c r="L1780" s="1"/>
  <c r="L1782" s="1"/>
  <c r="HI1763"/>
  <c r="EO1763"/>
  <c r="EU1763"/>
  <c r="Z1800" s="1"/>
  <c r="Q88" i="36"/>
  <c r="M86"/>
  <c r="K1804" i="35"/>
  <c r="H1777"/>
  <c r="I1775"/>
  <c r="AC1795"/>
  <c r="AC1789"/>
  <c r="I1784"/>
  <c r="I1786" s="1"/>
  <c r="Z1784"/>
  <c r="Z1786" s="1"/>
  <c r="K1792"/>
  <c r="EC1763"/>
  <c r="EE1763"/>
  <c r="DK1763"/>
  <c r="ES1763"/>
  <c r="C1957"/>
  <c r="H1961"/>
  <c r="E1993"/>
  <c r="B106" i="8"/>
  <c r="FH1763" i="35"/>
  <c r="DB1763"/>
  <c r="DM1763"/>
  <c r="BM1763"/>
  <c r="I1958"/>
  <c r="Y1812"/>
  <c r="H1780"/>
  <c r="I1957"/>
  <c r="E1957"/>
  <c r="J1780"/>
  <c r="J1782" s="1"/>
  <c r="D2031"/>
  <c r="H1996"/>
  <c r="D1995"/>
  <c r="B1961"/>
  <c r="D2030"/>
  <c r="J1994"/>
  <c r="D1962"/>
  <c r="J1619"/>
  <c r="J1636" s="1"/>
  <c r="J1638" s="1"/>
  <c r="J1640" s="1"/>
  <c r="H1993"/>
  <c r="I1924"/>
  <c r="F1926"/>
  <c r="G1962"/>
  <c r="EF1763"/>
  <c r="EL1763"/>
  <c r="BQ1763"/>
  <c r="AT1763"/>
  <c r="DA1763"/>
  <c r="DO1763"/>
  <c r="ED1763"/>
  <c r="FK1763"/>
  <c r="FE1763"/>
  <c r="CN1763"/>
  <c r="DQ1763"/>
  <c r="DS1763"/>
  <c r="FA1763"/>
  <c r="EW1763"/>
  <c r="FR1763"/>
  <c r="FM1763"/>
  <c r="BZ1763"/>
  <c r="W1763"/>
  <c r="BU1763"/>
  <c r="DG1763"/>
  <c r="DZ1763"/>
  <c r="FN1763"/>
  <c r="EV1763"/>
  <c r="EZ1763"/>
  <c r="FO1763"/>
  <c r="CY1763"/>
  <c r="D2032"/>
  <c r="E1996"/>
  <c r="CC1763"/>
  <c r="EQ1763"/>
  <c r="FQ1763"/>
  <c r="CE1763"/>
  <c r="DD1763"/>
  <c r="DP1763"/>
  <c r="EP1763"/>
  <c r="FL1763"/>
  <c r="EG1763"/>
  <c r="FB1763"/>
  <c r="ET1763"/>
  <c r="FD1763"/>
  <c r="FJ1763"/>
  <c r="AM1763"/>
  <c r="I1777"/>
  <c r="Z1777"/>
  <c r="EA1763"/>
  <c r="AB1763"/>
  <c r="FI1763"/>
  <c r="H1925"/>
  <c r="G39" i="8"/>
  <c r="E39"/>
  <c r="E1960" i="35"/>
  <c r="DV1763"/>
  <c r="E1958"/>
  <c r="B72" i="8"/>
  <c r="AB1785" i="35"/>
  <c r="H1994"/>
  <c r="D1994"/>
  <c r="B1959"/>
  <c r="P1619"/>
  <c r="P1636" s="1"/>
  <c r="P1638" s="1"/>
  <c r="P1640" s="1"/>
  <c r="S1619"/>
  <c r="D1993"/>
  <c r="K1994"/>
  <c r="E1959"/>
  <c r="I1927"/>
  <c r="E105" i="8"/>
  <c r="C107"/>
  <c r="E1961" i="35"/>
  <c r="DH1763"/>
  <c r="BO1763"/>
  <c r="EI1763"/>
  <c r="EY1763"/>
  <c r="DT1763"/>
  <c r="EM1763"/>
  <c r="DW1763"/>
  <c r="FP1763"/>
  <c r="BX1763"/>
  <c r="FF1763"/>
  <c r="CW1763"/>
  <c r="AK1763"/>
  <c r="K1923"/>
  <c r="K1922"/>
  <c r="D104" i="8"/>
  <c r="D107"/>
  <c r="D105"/>
  <c r="F1993" i="35"/>
  <c r="F1992"/>
  <c r="I72" i="8"/>
  <c r="I70"/>
  <c r="I73"/>
  <c r="I69"/>
  <c r="I74"/>
  <c r="B41"/>
  <c r="B34"/>
  <c r="B36"/>
  <c r="B35"/>
  <c r="G74"/>
  <c r="G72"/>
  <c r="G69"/>
  <c r="G73"/>
  <c r="G70"/>
  <c r="D1918" i="35"/>
  <c r="E30" i="8"/>
  <c r="G1923" i="35"/>
  <c r="G1922"/>
  <c r="C1993"/>
  <c r="C1992"/>
  <c r="D35" i="8"/>
  <c r="D39"/>
  <c r="D36"/>
  <c r="D34"/>
  <c r="D38"/>
  <c r="J69"/>
  <c r="J74"/>
  <c r="J72"/>
  <c r="J73"/>
  <c r="J70"/>
  <c r="F1923" i="35"/>
  <c r="F1922"/>
  <c r="B1993"/>
  <c r="B1992"/>
  <c r="E72" i="8"/>
  <c r="E71"/>
  <c r="E74"/>
  <c r="E70"/>
  <c r="E73"/>
  <c r="E69"/>
  <c r="E139"/>
  <c r="E142"/>
  <c r="E143"/>
  <c r="D72"/>
  <c r="D69"/>
  <c r="D74"/>
  <c r="C139"/>
  <c r="C142"/>
  <c r="C144"/>
  <c r="F1957" i="35"/>
  <c r="F1958"/>
  <c r="B2028"/>
  <c r="B2027"/>
  <c r="C74" i="8"/>
  <c r="C71"/>
  <c r="C73"/>
  <c r="C72"/>
  <c r="C70"/>
  <c r="C69"/>
  <c r="K107"/>
  <c r="K108"/>
  <c r="K105"/>
  <c r="K104"/>
  <c r="H73"/>
  <c r="H70"/>
  <c r="E1924" i="35"/>
  <c r="D109" i="8"/>
  <c r="E1926" i="35"/>
  <c r="K1926"/>
  <c r="D1927"/>
  <c r="J1962"/>
  <c r="F2032"/>
  <c r="E2030"/>
  <c r="F140" i="8"/>
  <c r="B1958" i="35"/>
  <c r="I39" i="8"/>
  <c r="D2029" i="35"/>
  <c r="E106" i="8"/>
  <c r="B39"/>
  <c r="E1927" i="35"/>
  <c r="C1959"/>
  <c r="F1927"/>
  <c r="C140" i="8"/>
  <c r="D71"/>
  <c r="K1959" i="35"/>
  <c r="J1927"/>
  <c r="G1925"/>
  <c r="C2031"/>
  <c r="K1925"/>
  <c r="E1997"/>
  <c r="G1924"/>
  <c r="I1996"/>
  <c r="I1962"/>
  <c r="I1961"/>
  <c r="G1960"/>
  <c r="D37" i="8"/>
  <c r="K1996" i="35"/>
  <c r="D70" i="8"/>
  <c r="D106"/>
  <c r="G1995" i="35"/>
  <c r="C34" i="8"/>
  <c r="C38"/>
  <c r="C35"/>
  <c r="C39"/>
  <c r="C36"/>
  <c r="H74"/>
  <c r="H72"/>
  <c r="H69"/>
  <c r="C1923" i="35"/>
  <c r="C1922"/>
  <c r="F69" i="8"/>
  <c r="F73"/>
  <c r="F74"/>
  <c r="F72"/>
  <c r="B1923" i="35"/>
  <c r="B1922"/>
  <c r="B1927"/>
  <c r="B1925"/>
  <c r="H1957"/>
  <c r="H1958"/>
  <c r="K36" i="8"/>
  <c r="K35"/>
  <c r="K39"/>
  <c r="K34"/>
  <c r="G104"/>
  <c r="G105"/>
  <c r="J39"/>
  <c r="J35"/>
  <c r="J34"/>
  <c r="J36"/>
  <c r="J37"/>
  <c r="F105"/>
  <c r="F108"/>
  <c r="F104"/>
  <c r="F106"/>
  <c r="F109"/>
  <c r="I38"/>
  <c r="I35"/>
  <c r="I34"/>
  <c r="I36"/>
  <c r="E107"/>
  <c r="E109"/>
  <c r="E104"/>
  <c r="C1920" i="35"/>
  <c r="D32" i="8"/>
  <c r="F2028" i="35"/>
  <c r="K1927"/>
  <c r="E1925"/>
  <c r="J1958"/>
  <c r="I1993"/>
  <c r="I1994"/>
  <c r="C1924"/>
  <c r="I71" i="8"/>
  <c r="F2029" i="35"/>
  <c r="G1994"/>
  <c r="G107" i="8"/>
  <c r="F2030" i="35"/>
  <c r="G1926"/>
  <c r="E144" i="8"/>
  <c r="C143"/>
  <c r="K37"/>
  <c r="C1994" i="35"/>
  <c r="I1997"/>
  <c r="K1962"/>
  <c r="K1961"/>
  <c r="K1960"/>
  <c r="G1959"/>
  <c r="G109" i="8"/>
  <c r="B1926" i="35"/>
  <c r="G106" i="8"/>
  <c r="G1993" i="35"/>
  <c r="G1992"/>
  <c r="H34" i="8"/>
  <c r="H38"/>
  <c r="H39"/>
  <c r="H35"/>
  <c r="H37"/>
  <c r="J1923" i="35"/>
  <c r="J1922"/>
  <c r="F139" i="8"/>
  <c r="F141"/>
  <c r="F143"/>
  <c r="K1780" i="35"/>
  <c r="K1993"/>
  <c r="K1992"/>
  <c r="B69" i="8"/>
  <c r="B73"/>
  <c r="B71"/>
  <c r="I104"/>
  <c r="I107"/>
  <c r="I106"/>
  <c r="I108"/>
  <c r="I105"/>
  <c r="D1958" i="35"/>
  <c r="D1957"/>
  <c r="J1993"/>
  <c r="J1992"/>
  <c r="G38" i="8"/>
  <c r="G36"/>
  <c r="G34"/>
  <c r="C104"/>
  <c r="C105"/>
  <c r="F34"/>
  <c r="F35"/>
  <c r="F37"/>
  <c r="F36"/>
  <c r="F39"/>
  <c r="B104"/>
  <c r="B108"/>
  <c r="B105"/>
  <c r="E36"/>
  <c r="E34"/>
  <c r="E37"/>
  <c r="E35"/>
  <c r="K74"/>
  <c r="K71"/>
  <c r="K70"/>
  <c r="K73"/>
  <c r="K69"/>
  <c r="K72"/>
  <c r="B120"/>
  <c r="B121" s="1"/>
  <c r="I50"/>
  <c r="D50"/>
  <c r="D51" s="1"/>
  <c r="D15"/>
  <c r="I15"/>
  <c r="C120"/>
  <c r="C121" s="1"/>
  <c r="H50"/>
  <c r="H51" s="1"/>
  <c r="D120"/>
  <c r="J85"/>
  <c r="J86" s="1"/>
  <c r="H85"/>
  <c r="C85"/>
  <c r="C86" s="1"/>
  <c r="K50"/>
  <c r="K51" s="1"/>
  <c r="G50"/>
  <c r="G51" s="1"/>
  <c r="F50"/>
  <c r="F51" s="1"/>
  <c r="E50"/>
  <c r="E15"/>
  <c r="E16" s="1"/>
  <c r="K15"/>
  <c r="B85"/>
  <c r="B86" s="1"/>
  <c r="G85"/>
  <c r="D85"/>
  <c r="D86" s="1"/>
  <c r="J50"/>
  <c r="J15"/>
  <c r="K85"/>
  <c r="K86" s="1"/>
  <c r="I85"/>
  <c r="I86" s="1"/>
  <c r="F85"/>
  <c r="F86" s="1"/>
  <c r="C50"/>
  <c r="C51" s="1"/>
  <c r="F15"/>
  <c r="F16" s="1"/>
  <c r="G15"/>
  <c r="H15"/>
  <c r="H16" s="1"/>
  <c r="E120"/>
  <c r="E121" s="1"/>
  <c r="F120"/>
  <c r="E85"/>
  <c r="E86" s="1"/>
  <c r="B50"/>
  <c r="C15"/>
  <c r="L1809" i="35"/>
  <c r="B38" i="8"/>
  <c r="C37"/>
  <c r="G1997" i="35"/>
  <c r="J1924"/>
  <c r="K1958"/>
  <c r="AA1781"/>
  <c r="AA1782" s="1"/>
  <c r="AC1808"/>
  <c r="AC1809" s="1"/>
  <c r="J1959"/>
  <c r="F1996"/>
  <c r="M1619"/>
  <c r="M1636" s="1"/>
  <c r="M1638" s="1"/>
  <c r="M1640" s="1"/>
  <c r="G1619"/>
  <c r="T1763"/>
  <c r="H1772" s="1"/>
  <c r="F142" i="8"/>
  <c r="F2031" i="35"/>
  <c r="H1995"/>
  <c r="J1960"/>
  <c r="B1960"/>
  <c r="F1997"/>
  <c r="H1962"/>
  <c r="E2028"/>
  <c r="D1923"/>
  <c r="E2031"/>
  <c r="D1924"/>
  <c r="C1926"/>
  <c r="F38" i="8"/>
  <c r="D2028" i="35"/>
  <c r="E1923"/>
  <c r="K106" i="8"/>
  <c r="D73"/>
  <c r="D108"/>
  <c r="G71"/>
  <c r="K38"/>
  <c r="E2029" i="35"/>
  <c r="C1925"/>
  <c r="C2030"/>
  <c r="C108" i="8"/>
  <c r="D1925" i="35"/>
  <c r="B109" i="8"/>
  <c r="G35"/>
  <c r="C106"/>
  <c r="K109"/>
  <c r="F70"/>
  <c r="H36"/>
  <c r="K1924" i="35"/>
  <c r="J1926"/>
  <c r="I1995"/>
  <c r="B1924"/>
  <c r="C1995"/>
  <c r="C1962"/>
  <c r="C1961"/>
  <c r="C2029"/>
  <c r="E1995"/>
  <c r="C1997"/>
  <c r="D139" i="8"/>
  <c r="D142"/>
  <c r="D144"/>
  <c r="D141"/>
  <c r="D143"/>
  <c r="J107"/>
  <c r="J109"/>
  <c r="J105"/>
  <c r="J104"/>
  <c r="J106"/>
  <c r="J108"/>
  <c r="U1763" i="35"/>
  <c r="D140" i="8"/>
  <c r="B139"/>
  <c r="B142"/>
  <c r="B144"/>
  <c r="B141"/>
  <c r="B143"/>
  <c r="H107"/>
  <c r="H109"/>
  <c r="H105"/>
  <c r="H104"/>
  <c r="H106"/>
  <c r="H108"/>
  <c r="Z1763" i="35"/>
  <c r="AI1763"/>
  <c r="B140" i="8"/>
  <c r="Y94" i="36"/>
  <c r="M93"/>
  <c r="H94"/>
  <c r="AD92"/>
  <c r="I94"/>
  <c r="I96" s="1"/>
  <c r="I98" s="1"/>
  <c r="M92"/>
  <c r="Q92" s="1"/>
  <c r="L1792" i="35" l="1"/>
  <c r="S41" i="3"/>
  <c r="S42" s="1"/>
  <c r="D46" i="8"/>
  <c r="K6"/>
  <c r="E20"/>
  <c r="C90"/>
  <c r="H55"/>
  <c r="F90"/>
  <c r="C55"/>
  <c r="D55"/>
  <c r="B90"/>
  <c r="E125"/>
  <c r="K90"/>
  <c r="B125"/>
  <c r="C125"/>
  <c r="J90"/>
  <c r="B20"/>
  <c r="I90"/>
  <c r="F55"/>
  <c r="G55"/>
  <c r="K55"/>
  <c r="D90"/>
  <c r="E90"/>
  <c r="F20"/>
  <c r="H20"/>
  <c r="H1807" i="35"/>
  <c r="H1809" s="1"/>
  <c r="Q11" i="36"/>
  <c r="Q1726" i="35" s="1"/>
  <c r="Q10" i="36"/>
  <c r="Q1725" i="35" s="1"/>
  <c r="AB1810"/>
  <c r="M77" i="36"/>
  <c r="Q87"/>
  <c r="AC1801" i="35"/>
  <c r="Q60" i="36"/>
  <c r="H59"/>
  <c r="H61" s="1"/>
  <c r="AC1780" i="35"/>
  <c r="AC1782" s="1"/>
  <c r="M70" i="36"/>
  <c r="Q70" s="1"/>
  <c r="Q57"/>
  <c r="L71"/>
  <c r="Z96"/>
  <c r="Z98" s="1"/>
  <c r="AA61"/>
  <c r="AA63" s="1"/>
  <c r="AB1786" i="35"/>
  <c r="L1788"/>
  <c r="L1790" s="1"/>
  <c r="H1795"/>
  <c r="J1812"/>
  <c r="AA1772"/>
  <c r="AA1807"/>
  <c r="Q66" i="36"/>
  <c r="M69"/>
  <c r="Q62"/>
  <c r="AB94"/>
  <c r="AC1812" i="35"/>
  <c r="AB96" i="36"/>
  <c r="AB98" s="1"/>
  <c r="AD97"/>
  <c r="K1775" i="35"/>
  <c r="AD81" i="36"/>
  <c r="M97"/>
  <c r="P50" i="7"/>
  <c r="H1773" i="35"/>
  <c r="H1810"/>
  <c r="H1811" s="1"/>
  <c r="Y1808"/>
  <c r="AB1789"/>
  <c r="H1781"/>
  <c r="H1782" s="1"/>
  <c r="H1789"/>
  <c r="AB1794"/>
  <c r="J1788"/>
  <c r="L1773"/>
  <c r="I1795"/>
  <c r="J1777"/>
  <c r="L1800"/>
  <c r="Z61" i="36"/>
  <c r="Z63" s="1"/>
  <c r="Q77"/>
  <c r="Q65"/>
  <c r="M71"/>
  <c r="Q71" s="1"/>
  <c r="AA94"/>
  <c r="AA96" s="1"/>
  <c r="AA98" s="1"/>
  <c r="AD95"/>
  <c r="Q95" s="1"/>
  <c r="Y1809" i="35"/>
  <c r="Y1811" s="1"/>
  <c r="Q69" i="36"/>
  <c r="AD93"/>
  <c r="Q93" s="1"/>
  <c r="I78"/>
  <c r="M76"/>
  <c r="Q76" s="1"/>
  <c r="M78"/>
  <c r="M81"/>
  <c r="AC1777" i="35"/>
  <c r="H1792"/>
  <c r="Q86" i="36"/>
  <c r="AD78"/>
  <c r="AD75"/>
  <c r="M79"/>
  <c r="Q79" s="1"/>
  <c r="I61"/>
  <c r="I63" s="1"/>
  <c r="M73"/>
  <c r="Q73" s="1"/>
  <c r="M80"/>
  <c r="Q80" s="1"/>
  <c r="F74" i="35"/>
  <c r="Y1772"/>
  <c r="Y1774" s="1"/>
  <c r="K1784"/>
  <c r="K1786" s="1"/>
  <c r="H1785"/>
  <c r="M1785" s="1"/>
  <c r="I1800"/>
  <c r="J1791"/>
  <c r="L1772"/>
  <c r="Z1810"/>
  <c r="AA1808"/>
  <c r="AA1809" s="1"/>
  <c r="AC1810"/>
  <c r="AC1811" s="1"/>
  <c r="AC1813" s="1"/>
  <c r="Q67" i="36"/>
  <c r="M58"/>
  <c r="H79" i="35" s="1"/>
  <c r="H78" s="1"/>
  <c r="H82" s="1"/>
  <c r="H84" s="1"/>
  <c r="H75" i="36"/>
  <c r="M75" s="1"/>
  <c r="M74"/>
  <c r="Q74" s="1"/>
  <c r="H63"/>
  <c r="AD1780" i="35"/>
  <c r="AA1773"/>
  <c r="L1811"/>
  <c r="L1813" s="1"/>
  <c r="AC1790"/>
  <c r="AC1774"/>
  <c r="Y63" i="36"/>
  <c r="AD63" s="1"/>
  <c r="F1904" i="35"/>
  <c r="F1910"/>
  <c r="F1921" s="1"/>
  <c r="G1902"/>
  <c r="G1907"/>
  <c r="H1901"/>
  <c r="G1909"/>
  <c r="G1903"/>
  <c r="AD59" i="36"/>
  <c r="AA1792" i="35"/>
  <c r="AA1793" s="1"/>
  <c r="J1792"/>
  <c r="AB1801"/>
  <c r="K1801"/>
  <c r="Y1802"/>
  <c r="H1802"/>
  <c r="K1800"/>
  <c r="AB1800"/>
  <c r="J1775"/>
  <c r="J1776" s="1"/>
  <c r="AA1775"/>
  <c r="Y1801"/>
  <c r="H1801"/>
  <c r="I1792"/>
  <c r="Z1792"/>
  <c r="Y1800"/>
  <c r="H1800"/>
  <c r="K1802"/>
  <c r="AB1802"/>
  <c r="K1777"/>
  <c r="AB1777"/>
  <c r="I1791"/>
  <c r="I1793" s="1"/>
  <c r="Z1791"/>
  <c r="Z1793" s="1"/>
  <c r="Z1807"/>
  <c r="I1807"/>
  <c r="AC1791"/>
  <c r="AC1793" s="1"/>
  <c r="L1791"/>
  <c r="L1793" s="1"/>
  <c r="AA1789"/>
  <c r="J1789"/>
  <c r="K1773"/>
  <c r="AB1773"/>
  <c r="Y1804"/>
  <c r="H1804"/>
  <c r="K1803"/>
  <c r="AB1803"/>
  <c r="AB1808"/>
  <c r="K1808"/>
  <c r="Z1801"/>
  <c r="I1801"/>
  <c r="I1789"/>
  <c r="Z1789"/>
  <c r="AC1803"/>
  <c r="L1803"/>
  <c r="AB1791"/>
  <c r="K1791"/>
  <c r="K1793" s="1"/>
  <c r="AA1803"/>
  <c r="J1803"/>
  <c r="Z1781"/>
  <c r="Z1782" s="1"/>
  <c r="AD1782" s="1"/>
  <c r="I1781"/>
  <c r="AC1804"/>
  <c r="L1804"/>
  <c r="Y1794"/>
  <c r="H1794"/>
  <c r="AD1785"/>
  <c r="M1780"/>
  <c r="AB1793"/>
  <c r="J1809"/>
  <c r="J16" i="8"/>
  <c r="J20" s="1"/>
  <c r="Z1812" i="35"/>
  <c r="I1812"/>
  <c r="AC1794"/>
  <c r="AC1796" s="1"/>
  <c r="L1794"/>
  <c r="L1796" s="1"/>
  <c r="L1775"/>
  <c r="AC1775"/>
  <c r="H1791"/>
  <c r="Y1791"/>
  <c r="Y1793" s="1"/>
  <c r="AB1812"/>
  <c r="K1812"/>
  <c r="AB1772"/>
  <c r="K1772"/>
  <c r="AA1810"/>
  <c r="J1810"/>
  <c r="AA1795"/>
  <c r="J1795"/>
  <c r="AA1802"/>
  <c r="J1802"/>
  <c r="AA1800"/>
  <c r="J1800"/>
  <c r="AC1802"/>
  <c r="L1802"/>
  <c r="L1784"/>
  <c r="L1786" s="1"/>
  <c r="AC1784"/>
  <c r="AC1786" s="1"/>
  <c r="H1784"/>
  <c r="Y1784"/>
  <c r="AA1804"/>
  <c r="J1804"/>
  <c r="AB1795"/>
  <c r="AB1796" s="1"/>
  <c r="K1795"/>
  <c r="K1796" s="1"/>
  <c r="J1784"/>
  <c r="J1786" s="1"/>
  <c r="AA1784"/>
  <c r="AA1786" s="1"/>
  <c r="Y1803"/>
  <c r="H1803"/>
  <c r="Z1803"/>
  <c r="I1803"/>
  <c r="AA1794"/>
  <c r="J1794"/>
  <c r="J1796" s="1"/>
  <c r="AB1788"/>
  <c r="AB1790" s="1"/>
  <c r="K1788"/>
  <c r="K1790" s="1"/>
  <c r="I1808"/>
  <c r="Z1808"/>
  <c r="I1802"/>
  <c r="Z1802"/>
  <c r="AB1807"/>
  <c r="K1807"/>
  <c r="AA1801"/>
  <c r="J1801"/>
  <c r="I1804"/>
  <c r="Z1804"/>
  <c r="Y1788"/>
  <c r="H1788"/>
  <c r="Z1794"/>
  <c r="Z1796" s="1"/>
  <c r="I1794"/>
  <c r="Z1788"/>
  <c r="I1788"/>
  <c r="F121" i="8"/>
  <c r="F125" s="1"/>
  <c r="C41"/>
  <c r="B1929" i="35"/>
  <c r="G16" i="8"/>
  <c r="G20" s="1"/>
  <c r="D121"/>
  <c r="D125" s="1"/>
  <c r="D16"/>
  <c r="D20" s="1"/>
  <c r="G86"/>
  <c r="G90" s="1"/>
  <c r="D1920" i="35"/>
  <c r="E32" i="8"/>
  <c r="E1918" i="35"/>
  <c r="F30" i="8"/>
  <c r="K1782" i="35"/>
  <c r="E51" i="8"/>
  <c r="E55" s="1"/>
  <c r="B51"/>
  <c r="B55" s="1"/>
  <c r="J51"/>
  <c r="J55" s="1"/>
  <c r="K16"/>
  <c r="K20" s="1"/>
  <c r="I16"/>
  <c r="I20" s="1"/>
  <c r="C16"/>
  <c r="C20" s="1"/>
  <c r="H86"/>
  <c r="H90" s="1"/>
  <c r="I51"/>
  <c r="I55" s="1"/>
  <c r="H1775" i="35"/>
  <c r="Y1775"/>
  <c r="H1774"/>
  <c r="I1772"/>
  <c r="Z1772"/>
  <c r="I1773"/>
  <c r="M1773" s="1"/>
  <c r="Z1773"/>
  <c r="M94" i="36"/>
  <c r="H96"/>
  <c r="AD94"/>
  <c r="Y96"/>
  <c r="D1934" i="35" l="1"/>
  <c r="E46" i="8"/>
  <c r="P148" i="36"/>
  <c r="P158" s="1"/>
  <c r="B19" i="8" s="1"/>
  <c r="P1863" i="35"/>
  <c r="P1873" s="1"/>
  <c r="K7" i="8"/>
  <c r="AA1774" i="35"/>
  <c r="AA1776" s="1"/>
  <c r="AA1778" s="1"/>
  <c r="I1796"/>
  <c r="M1810"/>
  <c r="K1774"/>
  <c r="K1776" s="1"/>
  <c r="K1778" s="1"/>
  <c r="AC1776"/>
  <c r="AC1778" s="1"/>
  <c r="J1790"/>
  <c r="Q81" i="36"/>
  <c r="Q59"/>
  <c r="M59"/>
  <c r="P52" i="7"/>
  <c r="Q97" i="36"/>
  <c r="P81" i="35"/>
  <c r="F45" i="7"/>
  <c r="Q78" i="36"/>
  <c r="M1777" i="35"/>
  <c r="Z1790"/>
  <c r="AA1811"/>
  <c r="AA1813" s="1"/>
  <c r="AB1774"/>
  <c r="AB1776" s="1"/>
  <c r="AB1778" s="1"/>
  <c r="AD1773"/>
  <c r="Q1785"/>
  <c r="J1778"/>
  <c r="AD61" i="36"/>
  <c r="L1774" i="35"/>
  <c r="L1776" s="1"/>
  <c r="L1778" s="1"/>
  <c r="AD1777"/>
  <c r="H50" i="7"/>
  <c r="H49" s="1"/>
  <c r="H53" s="1"/>
  <c r="H55" s="1"/>
  <c r="F73" i="35"/>
  <c r="F44" i="7"/>
  <c r="M1775" i="35"/>
  <c r="AD1795"/>
  <c r="M1791"/>
  <c r="AD1812"/>
  <c r="Q1780"/>
  <c r="J1793"/>
  <c r="Q58" i="36"/>
  <c r="M61"/>
  <c r="M32" i="11" s="1"/>
  <c r="AD1772" i="35"/>
  <c r="AD1808"/>
  <c r="AD1791"/>
  <c r="F71"/>
  <c r="Q75" i="36"/>
  <c r="F42" i="7"/>
  <c r="M63" i="36"/>
  <c r="Q63" s="1"/>
  <c r="R12" i="24"/>
  <c r="R11"/>
  <c r="R13"/>
  <c r="AD1789" i="35"/>
  <c r="I1901"/>
  <c r="H1902"/>
  <c r="H1909"/>
  <c r="H1907"/>
  <c r="H1903"/>
  <c r="G1904"/>
  <c r="G1910"/>
  <c r="G1921" s="1"/>
  <c r="M1788"/>
  <c r="M1795"/>
  <c r="Q1795" s="1"/>
  <c r="H1790"/>
  <c r="M1800"/>
  <c r="AA1790"/>
  <c r="Y1790"/>
  <c r="AD1788"/>
  <c r="AD1794"/>
  <c r="Y1796"/>
  <c r="I1790"/>
  <c r="M1789"/>
  <c r="Z1809"/>
  <c r="AD1807"/>
  <c r="I1809"/>
  <c r="M1808"/>
  <c r="H1786"/>
  <c r="M1786" s="1"/>
  <c r="M1784"/>
  <c r="M1794"/>
  <c r="H1796"/>
  <c r="M1796" s="1"/>
  <c r="I1782"/>
  <c r="M1782" s="1"/>
  <c r="Q1782" s="1"/>
  <c r="M1781"/>
  <c r="M1801"/>
  <c r="M1802"/>
  <c r="AD1793"/>
  <c r="AD1804"/>
  <c r="M1792"/>
  <c r="AD1775"/>
  <c r="Q1775" s="1"/>
  <c r="AD1781"/>
  <c r="AB1809"/>
  <c r="AB1811" s="1"/>
  <c r="AB1813" s="1"/>
  <c r="AA1796"/>
  <c r="AD1803"/>
  <c r="H1793"/>
  <c r="K1809"/>
  <c r="K1811" s="1"/>
  <c r="K1813" s="1"/>
  <c r="M1804"/>
  <c r="M1807"/>
  <c r="AD1792"/>
  <c r="AD1810"/>
  <c r="Q1810" s="1"/>
  <c r="AD1784"/>
  <c r="Y1786"/>
  <c r="AD1786" s="1"/>
  <c r="Q1773"/>
  <c r="M1803"/>
  <c r="M1812"/>
  <c r="J1811"/>
  <c r="J1813" s="1"/>
  <c r="AD1801"/>
  <c r="AD1800"/>
  <c r="AD1802"/>
  <c r="F1918"/>
  <c r="G30" i="8"/>
  <c r="D41"/>
  <c r="C1929" i="35"/>
  <c r="E1920"/>
  <c r="F32" i="8"/>
  <c r="Y1776" i="35"/>
  <c r="H1813"/>
  <c r="H1776"/>
  <c r="I1774"/>
  <c r="I1776" s="1"/>
  <c r="I1778" s="1"/>
  <c r="Y1813"/>
  <c r="Z1774"/>
  <c r="Z1776" s="1"/>
  <c r="Z1778" s="1"/>
  <c r="M1772"/>
  <c r="AD96" i="36"/>
  <c r="Y98"/>
  <c r="AD98" s="1"/>
  <c r="M96"/>
  <c r="Q96" s="1"/>
  <c r="H98"/>
  <c r="M98" s="1"/>
  <c r="P78" i="35"/>
  <c r="P80" s="1"/>
  <c r="P82" s="1"/>
  <c r="P87" s="1"/>
  <c r="P49" i="7"/>
  <c r="P51" s="1"/>
  <c r="Q94" i="36"/>
  <c r="E1934" i="35" l="1"/>
  <c r="F46" i="8"/>
  <c r="I89"/>
  <c r="K54"/>
  <c r="C54"/>
  <c r="J19"/>
  <c r="E124"/>
  <c r="F89"/>
  <c r="H54"/>
  <c r="E19"/>
  <c r="K89"/>
  <c r="C89"/>
  <c r="E54"/>
  <c r="H19"/>
  <c r="D124"/>
  <c r="H89"/>
  <c r="J54"/>
  <c r="C19"/>
  <c r="K19"/>
  <c r="B89"/>
  <c r="E89"/>
  <c r="G54"/>
  <c r="F19"/>
  <c r="C124"/>
  <c r="J89"/>
  <c r="B54"/>
  <c r="D54"/>
  <c r="I19"/>
  <c r="G89"/>
  <c r="I54"/>
  <c r="D19"/>
  <c r="B124"/>
  <c r="F124"/>
  <c r="D89"/>
  <c r="F54"/>
  <c r="G19"/>
  <c r="M1793" i="35"/>
  <c r="Q1808"/>
  <c r="Q1777"/>
  <c r="Q1800"/>
  <c r="Q1789"/>
  <c r="P141" i="7"/>
  <c r="Q1788" i="35"/>
  <c r="Q1791"/>
  <c r="Q61" i="36"/>
  <c r="P53" i="7"/>
  <c r="P58" s="1"/>
  <c r="Q1772" i="35"/>
  <c r="P170"/>
  <c r="J145" i="15"/>
  <c r="J146" s="1"/>
  <c r="J148" s="1"/>
  <c r="P169" i="35"/>
  <c r="P145" i="15"/>
  <c r="P146" s="1"/>
  <c r="P148" s="1"/>
  <c r="M1641" i="35"/>
  <c r="M1642" s="1"/>
  <c r="M1644" s="1"/>
  <c r="Q1812"/>
  <c r="P140" i="7"/>
  <c r="M2524" i="35"/>
  <c r="M145" i="15"/>
  <c r="M146" s="1"/>
  <c r="M148" s="1"/>
  <c r="P1641" i="35"/>
  <c r="P1642" s="1"/>
  <c r="P1644" s="1"/>
  <c r="J1641"/>
  <c r="J1642" s="1"/>
  <c r="J1644" s="1"/>
  <c r="M1790"/>
  <c r="D125" i="15"/>
  <c r="D1621" i="35"/>
  <c r="G1621"/>
  <c r="J159" i="36"/>
  <c r="E93" i="15"/>
  <c r="P100" i="35"/>
  <c r="J160" i="36"/>
  <c r="N150"/>
  <c r="P67" i="7"/>
  <c r="P98" i="35"/>
  <c r="N149" i="36"/>
  <c r="G125" i="15"/>
  <c r="N158" i="36"/>
  <c r="D1534" i="35"/>
  <c r="E1589"/>
  <c r="P71" i="7"/>
  <c r="F1611" i="35"/>
  <c r="P96"/>
  <c r="F115" i="15"/>
  <c r="P161" i="36"/>
  <c r="D38" i="15"/>
  <c r="J158" i="36"/>
  <c r="P69" i="7"/>
  <c r="AD1790" i="35"/>
  <c r="Q1790" s="1"/>
  <c r="H1904"/>
  <c r="H1910"/>
  <c r="H1921" s="1"/>
  <c r="Q1801"/>
  <c r="I1907"/>
  <c r="J1901"/>
  <c r="I1902"/>
  <c r="I1909"/>
  <c r="I1903"/>
  <c r="Q1803"/>
  <c r="Q1793"/>
  <c r="Q1792"/>
  <c r="AD1796"/>
  <c r="Q1796" s="1"/>
  <c r="Z1811"/>
  <c r="AD1809"/>
  <c r="I1811"/>
  <c r="M1809"/>
  <c r="Q1804"/>
  <c r="Q1802"/>
  <c r="Q1784"/>
  <c r="Q1786"/>
  <c r="Q1807"/>
  <c r="Q1794"/>
  <c r="Q1781"/>
  <c r="F1920"/>
  <c r="G32" i="8"/>
  <c r="D1929" i="35"/>
  <c r="E41" i="8"/>
  <c r="G1918" i="35"/>
  <c r="H30" i="8"/>
  <c r="H1778" i="35"/>
  <c r="M1778" s="1"/>
  <c r="M1776"/>
  <c r="Y1778"/>
  <c r="AD1778" s="1"/>
  <c r="AD1776"/>
  <c r="M1774"/>
  <c r="AD1774"/>
  <c r="M1621"/>
  <c r="D1535"/>
  <c r="Q98" i="36"/>
  <c r="D39" i="15"/>
  <c r="M125"/>
  <c r="Q54" i="36"/>
  <c r="F1934" i="35" l="1"/>
  <c r="G46" i="8"/>
  <c r="J149" i="15"/>
  <c r="J161" s="1"/>
  <c r="M163" s="1"/>
  <c r="J1645" i="35"/>
  <c r="J1657" s="1"/>
  <c r="J1661" s="1"/>
  <c r="M151" i="15"/>
  <c r="J152"/>
  <c r="B21" i="8"/>
  <c r="B40" s="1"/>
  <c r="P166" i="36"/>
  <c r="M1647" i="35"/>
  <c r="J1648"/>
  <c r="K1901"/>
  <c r="J1909"/>
  <c r="J1902"/>
  <c r="J1907"/>
  <c r="J1903"/>
  <c r="I1910"/>
  <c r="I1921" s="1"/>
  <c r="I1904"/>
  <c r="Z1813"/>
  <c r="AD1813" s="1"/>
  <c r="AD1811"/>
  <c r="I1813"/>
  <c r="M1813" s="1"/>
  <c r="Q1813" s="1"/>
  <c r="M1811"/>
  <c r="Q1809"/>
  <c r="H1918"/>
  <c r="I30" i="8"/>
  <c r="G1920" i="35"/>
  <c r="H32" i="8"/>
  <c r="F41"/>
  <c r="E1929" i="35"/>
  <c r="P1876"/>
  <c r="P1881" s="1"/>
  <c r="Q1778"/>
  <c r="N1864"/>
  <c r="N1865"/>
  <c r="Q1774"/>
  <c r="Q1776"/>
  <c r="G1934" l="1"/>
  <c r="H46" i="8"/>
  <c r="J165" i="15"/>
  <c r="J393" i="35" s="1"/>
  <c r="L393" s="1"/>
  <c r="M1659"/>
  <c r="C91" i="8"/>
  <c r="I56"/>
  <c r="E56"/>
  <c r="J21"/>
  <c r="C21"/>
  <c r="H91"/>
  <c r="I21"/>
  <c r="B56"/>
  <c r="C56"/>
  <c r="I91"/>
  <c r="D126"/>
  <c r="F56"/>
  <c r="B91"/>
  <c r="H56"/>
  <c r="E126"/>
  <c r="G56"/>
  <c r="F126"/>
  <c r="B126"/>
  <c r="K91"/>
  <c r="H21"/>
  <c r="D21"/>
  <c r="K21"/>
  <c r="J56"/>
  <c r="C126"/>
  <c r="D56"/>
  <c r="J91"/>
  <c r="K56"/>
  <c r="G91"/>
  <c r="G21"/>
  <c r="D91"/>
  <c r="E21"/>
  <c r="F91"/>
  <c r="F21"/>
  <c r="E91"/>
  <c r="B22"/>
  <c r="B33" s="1"/>
  <c r="J1910" i="35"/>
  <c r="J1921" s="1"/>
  <c r="J1904"/>
  <c r="K1907"/>
  <c r="B1936"/>
  <c r="K1902"/>
  <c r="K1909"/>
  <c r="K1903"/>
  <c r="Q1811"/>
  <c r="Q1769" s="1"/>
  <c r="H1920"/>
  <c r="I32" i="8"/>
  <c r="I1918" i="35"/>
  <c r="J30" i="8"/>
  <c r="F1929" i="35"/>
  <c r="G41" i="8"/>
  <c r="J394" i="35"/>
  <c r="L394" s="1"/>
  <c r="J41" i="3"/>
  <c r="L41" s="1"/>
  <c r="E92" i="15"/>
  <c r="J6" i="7" l="1"/>
  <c r="J40" i="3"/>
  <c r="L40" s="1"/>
  <c r="H1934" i="35"/>
  <c r="I46" i="8"/>
  <c r="F22"/>
  <c r="F33" s="1"/>
  <c r="F40"/>
  <c r="G22"/>
  <c r="G33" s="1"/>
  <c r="G40"/>
  <c r="K57"/>
  <c r="K75"/>
  <c r="J57"/>
  <c r="J75"/>
  <c r="D22"/>
  <c r="D33" s="1"/>
  <c r="D40"/>
  <c r="F127"/>
  <c r="F145"/>
  <c r="E127"/>
  <c r="E145"/>
  <c r="B92"/>
  <c r="B110"/>
  <c r="C57"/>
  <c r="C75"/>
  <c r="I22"/>
  <c r="I40"/>
  <c r="E57"/>
  <c r="E75"/>
  <c r="E92"/>
  <c r="E110"/>
  <c r="F92"/>
  <c r="F110"/>
  <c r="D92"/>
  <c r="D110"/>
  <c r="G92"/>
  <c r="G110"/>
  <c r="J92"/>
  <c r="J110"/>
  <c r="C127"/>
  <c r="C145"/>
  <c r="K22"/>
  <c r="K40"/>
  <c r="H22"/>
  <c r="H33" s="1"/>
  <c r="H40"/>
  <c r="B127"/>
  <c r="B145"/>
  <c r="G57"/>
  <c r="G75"/>
  <c r="H57"/>
  <c r="H75"/>
  <c r="F57"/>
  <c r="F75"/>
  <c r="I92"/>
  <c r="I110"/>
  <c r="B57"/>
  <c r="B75"/>
  <c r="H92"/>
  <c r="H110"/>
  <c r="J22"/>
  <c r="J40"/>
  <c r="I57"/>
  <c r="I75"/>
  <c r="E22"/>
  <c r="E33" s="1"/>
  <c r="E40"/>
  <c r="D57"/>
  <c r="D75"/>
  <c r="K92"/>
  <c r="K110"/>
  <c r="D127"/>
  <c r="D145"/>
  <c r="C22"/>
  <c r="C33" s="1"/>
  <c r="C40"/>
  <c r="C92"/>
  <c r="C110"/>
  <c r="I33"/>
  <c r="K1910" i="35"/>
  <c r="K1921" s="1"/>
  <c r="K1904"/>
  <c r="C1936"/>
  <c r="B1938"/>
  <c r="B1937"/>
  <c r="B1944"/>
  <c r="B1942"/>
  <c r="I1920"/>
  <c r="J32" i="8"/>
  <c r="G1929" i="35"/>
  <c r="H41" i="8"/>
  <c r="J1918" i="35"/>
  <c r="K30" i="8"/>
  <c r="I1934" i="35" l="1"/>
  <c r="J46" i="8"/>
  <c r="B1945" i="35"/>
  <c r="B1956" s="1"/>
  <c r="B1939"/>
  <c r="C1944"/>
  <c r="C1942"/>
  <c r="C1938"/>
  <c r="D1936"/>
  <c r="C1937"/>
  <c r="J1920"/>
  <c r="K32" i="8"/>
  <c r="K33" s="1"/>
  <c r="K1918" i="35"/>
  <c r="B65" i="8"/>
  <c r="I41"/>
  <c r="H1929" i="35"/>
  <c r="J33" i="8"/>
  <c r="J1934" i="35" l="1"/>
  <c r="K46" i="8"/>
  <c r="C1945" i="35"/>
  <c r="C1956" s="1"/>
  <c r="C1939"/>
  <c r="E1936"/>
  <c r="D1938"/>
  <c r="D1937"/>
  <c r="D1944"/>
  <c r="D1942"/>
  <c r="I1929"/>
  <c r="J41" i="8"/>
  <c r="K1920" i="35"/>
  <c r="B67" i="8"/>
  <c r="B68" s="1"/>
  <c r="B1953" i="35"/>
  <c r="C65" i="8"/>
  <c r="K1934" i="35" l="1"/>
  <c r="B81" i="8"/>
  <c r="D1945" i="35"/>
  <c r="D1956" s="1"/>
  <c r="D1939"/>
  <c r="E1944"/>
  <c r="E1942"/>
  <c r="E1938"/>
  <c r="F1936"/>
  <c r="E1937"/>
  <c r="C1953"/>
  <c r="D65" i="8"/>
  <c r="K41"/>
  <c r="J1929" i="35"/>
  <c r="B1955"/>
  <c r="C67" i="8"/>
  <c r="C68" s="1"/>
  <c r="B1969" i="35" l="1"/>
  <c r="C81" i="8"/>
  <c r="E1945" i="35"/>
  <c r="E1956" s="1"/>
  <c r="E1939"/>
  <c r="G1936"/>
  <c r="F1938"/>
  <c r="F1937"/>
  <c r="F1944"/>
  <c r="F1942"/>
  <c r="D1953"/>
  <c r="E65" i="8"/>
  <c r="C1955" i="35"/>
  <c r="D67" i="8"/>
  <c r="D68" s="1"/>
  <c r="K1929" i="35"/>
  <c r="B76" i="8"/>
  <c r="C1969" i="35" l="1"/>
  <c r="D81" i="8"/>
  <c r="F1945" i="35"/>
  <c r="F1956" s="1"/>
  <c r="F1939"/>
  <c r="G1944"/>
  <c r="G1942"/>
  <c r="G1938"/>
  <c r="H1936"/>
  <c r="G1937"/>
  <c r="E1953"/>
  <c r="F65" i="8"/>
  <c r="D1955" i="35"/>
  <c r="E67" i="8"/>
  <c r="E68" s="1"/>
  <c r="C76"/>
  <c r="B1964" i="35"/>
  <c r="D1969" l="1"/>
  <c r="E81" i="8"/>
  <c r="G1945" i="35"/>
  <c r="G1956" s="1"/>
  <c r="G1939"/>
  <c r="I1936"/>
  <c r="H1938"/>
  <c r="H1937"/>
  <c r="H1944"/>
  <c r="H1942"/>
  <c r="F1953"/>
  <c r="G65" i="8"/>
  <c r="E1955" i="35"/>
  <c r="F67" i="8"/>
  <c r="F68" s="1"/>
  <c r="D76"/>
  <c r="C1964" i="35"/>
  <c r="E1969" l="1"/>
  <c r="F81" i="8"/>
  <c r="H1945" i="35"/>
  <c r="H1956" s="1"/>
  <c r="H1939"/>
  <c r="I1944"/>
  <c r="I1942"/>
  <c r="I1938"/>
  <c r="J1936"/>
  <c r="I1937"/>
  <c r="G1953"/>
  <c r="H65" i="8"/>
  <c r="F1955" i="35"/>
  <c r="G67" i="8"/>
  <c r="G68" s="1"/>
  <c r="E76"/>
  <c r="D1964" i="35"/>
  <c r="F1969" l="1"/>
  <c r="G81" i="8"/>
  <c r="I1945" i="35"/>
  <c r="I1956" s="1"/>
  <c r="I1939"/>
  <c r="K1936"/>
  <c r="J1937"/>
  <c r="J1938"/>
  <c r="J1944"/>
  <c r="J1942"/>
  <c r="E1964"/>
  <c r="F76" i="8"/>
  <c r="H1953" i="35"/>
  <c r="I65" i="8"/>
  <c r="G1955" i="35"/>
  <c r="H67" i="8"/>
  <c r="H68" s="1"/>
  <c r="G1969" i="35" l="1"/>
  <c r="H81" i="8"/>
  <c r="K1937" i="35"/>
  <c r="K1944"/>
  <c r="K1942"/>
  <c r="K1938"/>
  <c r="B1971"/>
  <c r="J1945"/>
  <c r="J1956" s="1"/>
  <c r="J1939"/>
  <c r="H1955"/>
  <c r="I67" i="8"/>
  <c r="I68" s="1"/>
  <c r="G76"/>
  <c r="F1964" i="35"/>
  <c r="I1953"/>
  <c r="J65" i="8"/>
  <c r="H1969" i="35" l="1"/>
  <c r="I81" i="8"/>
  <c r="C1971" i="35"/>
  <c r="B1979"/>
  <c r="B1977"/>
  <c r="B1972"/>
  <c r="B1973"/>
  <c r="K1945"/>
  <c r="K1956" s="1"/>
  <c r="K1939"/>
  <c r="J1953"/>
  <c r="K65" i="8"/>
  <c r="I1955" i="35"/>
  <c r="J67" i="8"/>
  <c r="H76"/>
  <c r="G1964" i="35"/>
  <c r="I1969" l="1"/>
  <c r="J81" i="8"/>
  <c r="D1971" i="35"/>
  <c r="C1972"/>
  <c r="C1979"/>
  <c r="C1977"/>
  <c r="C1973"/>
  <c r="B1980"/>
  <c r="B1991" s="1"/>
  <c r="B1974"/>
  <c r="I76" i="8"/>
  <c r="H1964" i="35"/>
  <c r="J1955"/>
  <c r="K67" i="8"/>
  <c r="K68" s="1"/>
  <c r="K1953" i="35"/>
  <c r="B100" i="8"/>
  <c r="J68"/>
  <c r="J1969" i="35" l="1"/>
  <c r="K81" i="8"/>
  <c r="E1971" i="35"/>
  <c r="D1979"/>
  <c r="D1977"/>
  <c r="D1972"/>
  <c r="D1973"/>
  <c r="C1980"/>
  <c r="C1991" s="1"/>
  <c r="C1974"/>
  <c r="I1964"/>
  <c r="J76" i="8"/>
  <c r="B1988" i="35"/>
  <c r="C100" i="8"/>
  <c r="K1955" i="35"/>
  <c r="B102" i="8"/>
  <c r="B103" s="1"/>
  <c r="K1969" i="35" l="1"/>
  <c r="B116" i="8"/>
  <c r="F1971" i="35"/>
  <c r="E1972"/>
  <c r="E1979"/>
  <c r="E1977"/>
  <c r="E1973"/>
  <c r="D1980"/>
  <c r="D1991" s="1"/>
  <c r="D1974"/>
  <c r="K76" i="8"/>
  <c r="J1964" i="35"/>
  <c r="B1990"/>
  <c r="C102" i="8"/>
  <c r="C1988" i="35"/>
  <c r="D100" i="8"/>
  <c r="C103"/>
  <c r="B2004" i="35" l="1"/>
  <c r="C116" i="8"/>
  <c r="G1971" i="35"/>
  <c r="F1979"/>
  <c r="F1977"/>
  <c r="F1972"/>
  <c r="F1973"/>
  <c r="E1980"/>
  <c r="E1991" s="1"/>
  <c r="E1974"/>
  <c r="B111" i="8"/>
  <c r="K1964" i="35"/>
  <c r="D1988"/>
  <c r="E100" i="8"/>
  <c r="C1990" i="35"/>
  <c r="D102" i="8"/>
  <c r="D103" s="1"/>
  <c r="C2004" i="35" l="1"/>
  <c r="D116" i="8"/>
  <c r="H1971" i="35"/>
  <c r="G1972"/>
  <c r="G1979"/>
  <c r="G1977"/>
  <c r="G1973"/>
  <c r="F1980"/>
  <c r="F1991" s="1"/>
  <c r="F1974"/>
  <c r="B1999"/>
  <c r="C111" i="8"/>
  <c r="D1990" i="35"/>
  <c r="E102" i="8"/>
  <c r="E103" s="1"/>
  <c r="E1988" i="35"/>
  <c r="F100" i="8"/>
  <c r="D2004" i="35" l="1"/>
  <c r="E116" i="8"/>
  <c r="I1971" i="35"/>
  <c r="H1979"/>
  <c r="H1977"/>
  <c r="H1972"/>
  <c r="H1973"/>
  <c r="G1980"/>
  <c r="G1991" s="1"/>
  <c r="G1974"/>
  <c r="C1999"/>
  <c r="D111" i="8"/>
  <c r="F1988" i="35"/>
  <c r="G100" i="8"/>
  <c r="E1990" i="35"/>
  <c r="F102" i="8"/>
  <c r="F103" s="1"/>
  <c r="E2004" i="35" l="1"/>
  <c r="F116" i="8"/>
  <c r="I1972" i="35"/>
  <c r="J1971"/>
  <c r="I1979"/>
  <c r="I1977"/>
  <c r="I1973"/>
  <c r="H1980"/>
  <c r="H1991" s="1"/>
  <c r="H1974"/>
  <c r="E111" i="8"/>
  <c r="D1999" i="35"/>
  <c r="F1990"/>
  <c r="G102" i="8"/>
  <c r="G103" s="1"/>
  <c r="G1988" i="35"/>
  <c r="H100" i="8"/>
  <c r="F2004" i="35" l="1"/>
  <c r="G116" i="8"/>
  <c r="I1974" i="35"/>
  <c r="I1980"/>
  <c r="I1991" s="1"/>
  <c r="K1971"/>
  <c r="J1972"/>
  <c r="J1979"/>
  <c r="J1977"/>
  <c r="J1973"/>
  <c r="H1988"/>
  <c r="I100" i="8"/>
  <c r="F111"/>
  <c r="E1999" i="35"/>
  <c r="G1990"/>
  <c r="H102" i="8"/>
  <c r="H103" s="1"/>
  <c r="G2004" i="35" l="1"/>
  <c r="H116" i="8"/>
  <c r="K1972" i="35"/>
  <c r="B2006"/>
  <c r="K1979"/>
  <c r="K1977"/>
  <c r="K1973"/>
  <c r="J1974"/>
  <c r="J1980"/>
  <c r="J1991" s="1"/>
  <c r="I1988"/>
  <c r="J100" i="8"/>
  <c r="H1990" i="35"/>
  <c r="I102" i="8"/>
  <c r="I103" s="1"/>
  <c r="G111"/>
  <c r="F1999" i="35"/>
  <c r="H2004" l="1"/>
  <c r="I116" i="8"/>
  <c r="K1974" i="35"/>
  <c r="K1980"/>
  <c r="K1991" s="1"/>
  <c r="C2006"/>
  <c r="B2012"/>
  <c r="B2007"/>
  <c r="B2014"/>
  <c r="B2008"/>
  <c r="G1999"/>
  <c r="H111" i="8"/>
  <c r="I1990" i="35"/>
  <c r="J102" i="8"/>
  <c r="J103" s="1"/>
  <c r="J1988" i="35"/>
  <c r="K100" i="8"/>
  <c r="I2004" i="35" l="1"/>
  <c r="J116" i="8"/>
  <c r="B2015" i="35"/>
  <c r="B2026" s="1"/>
  <c r="B2009"/>
  <c r="C2014"/>
  <c r="D2006"/>
  <c r="C2007"/>
  <c r="C2012"/>
  <c r="C2008"/>
  <c r="K1988"/>
  <c r="B135" i="8"/>
  <c r="I111"/>
  <c r="H1999" i="35"/>
  <c r="J1990"/>
  <c r="K102" i="8"/>
  <c r="K103" s="1"/>
  <c r="J2004" i="35" l="1"/>
  <c r="K116" i="8"/>
  <c r="C2015" i="35"/>
  <c r="C2026" s="1"/>
  <c r="C2009"/>
  <c r="E2006"/>
  <c r="D2007"/>
  <c r="D2012"/>
  <c r="D2014"/>
  <c r="D2008"/>
  <c r="B2023"/>
  <c r="C135" i="8"/>
  <c r="K1990" i="35"/>
  <c r="B137" i="8"/>
  <c r="B138" s="1"/>
  <c r="I1999" i="35"/>
  <c r="J111" i="8"/>
  <c r="K2004" i="35" l="1"/>
  <c r="B151" i="8"/>
  <c r="E2007" i="35"/>
  <c r="E2014"/>
  <c r="F2006"/>
  <c r="E2012"/>
  <c r="E2008"/>
  <c r="D2009"/>
  <c r="D2015"/>
  <c r="D2026" s="1"/>
  <c r="C2023"/>
  <c r="D135" i="8"/>
  <c r="B2025" i="35"/>
  <c r="C137" i="8"/>
  <c r="K111"/>
  <c r="J1999" i="35"/>
  <c r="B2039" l="1"/>
  <c r="C151" i="8"/>
  <c r="F2007" i="35"/>
  <c r="F2012"/>
  <c r="F2014"/>
  <c r="F2008"/>
  <c r="E2009"/>
  <c r="E2015"/>
  <c r="E2026" s="1"/>
  <c r="C2025"/>
  <c r="D137" i="8"/>
  <c r="D138" s="1"/>
  <c r="K1999" i="35"/>
  <c r="B146" i="8"/>
  <c r="D2023" i="35"/>
  <c r="E135" i="8"/>
  <c r="C138"/>
  <c r="C2039" i="35" l="1"/>
  <c r="D151" i="8"/>
  <c r="F2009" i="35"/>
  <c r="F2015"/>
  <c r="F2026" s="1"/>
  <c r="E2023"/>
  <c r="F135" i="8"/>
  <c r="D2025" i="35"/>
  <c r="E137" i="8"/>
  <c r="C146"/>
  <c r="B2034" i="35"/>
  <c r="D2039" l="1"/>
  <c r="E151" i="8"/>
  <c r="C2034" i="35"/>
  <c r="D146" i="8"/>
  <c r="E2025" i="35"/>
  <c r="F137" i="8"/>
  <c r="F2025" i="35" s="1"/>
  <c r="F2023"/>
  <c r="F138" i="8"/>
  <c r="E138"/>
  <c r="E2039" i="35" l="1"/>
  <c r="F151" i="8"/>
  <c r="F2039" i="35" s="1"/>
  <c r="E146" i="8"/>
  <c r="D2034" i="35"/>
  <c r="E2034" l="1"/>
  <c r="F146" i="8"/>
  <c r="F2034" i="35" s="1"/>
</calcChain>
</file>

<file path=xl/sharedStrings.xml><?xml version="1.0" encoding="utf-8"?>
<sst xmlns="http://schemas.openxmlformats.org/spreadsheetml/2006/main" count="10075" uniqueCount="4065">
  <si>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</si>
  <si>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</si>
  <si>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</si>
  <si>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</si>
  <si>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</si>
  <si>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</si>
  <si>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</si>
  <si>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</si>
  <si>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</si>
  <si>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</si>
  <si>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</si>
  <si>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</si>
  <si>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</si>
  <si>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</si>
  <si>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</si>
  <si>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</si>
  <si>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</si>
  <si>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</si>
  <si>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</si>
  <si>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</si>
  <si>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</si>
  <si>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</si>
  <si>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</si>
  <si>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</si>
  <si>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</si>
  <si>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</si>
  <si>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</si>
  <si>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</si>
  <si>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</si>
  <si>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</si>
  <si>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</si>
  <si>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</si>
  <si>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</si>
  <si>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</si>
  <si>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</si>
  <si>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</si>
  <si>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</si>
  <si>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</si>
  <si>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</si>
  <si>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</si>
  <si>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</si>
  <si>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</si>
  <si>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</si>
  <si>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</si>
  <si>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</si>
  <si>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</si>
  <si>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</si>
  <si>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</si>
  <si>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</si>
  <si>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</si>
  <si>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</si>
  <si>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</si>
  <si>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</si>
  <si>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</si>
  <si>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</si>
  <si>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</si>
  <si>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</si>
  <si>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</si>
  <si>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</si>
  <si>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</si>
  <si>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</si>
  <si>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</si>
  <si>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</si>
  <si>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</si>
  <si>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</si>
  <si>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</si>
  <si>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</si>
  <si>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</si>
  <si>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</si>
  <si>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</si>
  <si>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</si>
  <si>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</si>
  <si>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</si>
  <si>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</si>
  <si>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</si>
  <si>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</si>
  <si>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</si>
  <si>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</si>
  <si>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</si>
  <si>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</si>
  <si>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</si>
  <si>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</si>
  <si>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</si>
  <si>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</si>
  <si>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</si>
  <si>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</si>
  <si>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</si>
  <si>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</si>
  <si>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</si>
  <si>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</si>
  <si>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</si>
  <si>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</si>
  <si>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</si>
  <si>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</si>
  <si>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</si>
  <si>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</si>
  <si>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</si>
  <si>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</si>
  <si>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</si>
  <si>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</si>
  <si>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</si>
  <si>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</si>
  <si>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</si>
  <si>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</si>
  <si>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</si>
  <si>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</si>
  <si>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</si>
  <si>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</si>
  <si>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</si>
  <si>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</si>
  <si>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</si>
  <si>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</si>
  <si>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</si>
  <si>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</si>
  <si>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</si>
  <si>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</si>
  <si>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</si>
  <si>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</si>
  <si>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</si>
  <si>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</si>
  <si>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</si>
  <si>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</si>
  <si>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</si>
  <si>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</si>
  <si>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</si>
  <si>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</si>
  <si>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</si>
  <si>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</si>
  <si>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</si>
  <si>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</si>
  <si>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</si>
  <si>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</si>
  <si>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</si>
  <si>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</si>
  <si>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</si>
  <si>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</si>
  <si>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</si>
  <si>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</si>
  <si>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</si>
  <si>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</si>
  <si>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</si>
  <si>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</si>
  <si>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</si>
  <si>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</si>
  <si>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</si>
  <si>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</si>
  <si>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</si>
  <si>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</si>
  <si>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</si>
  <si>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</si>
  <si>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</si>
  <si>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</si>
  <si>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</si>
  <si>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</si>
  <si>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</si>
  <si>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</si>
  <si>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</si>
  <si>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</si>
  <si>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</si>
  <si>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</si>
  <si>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</si>
  <si>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</si>
  <si>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</si>
  <si>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</si>
  <si>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</si>
  <si>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</si>
  <si>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</si>
  <si>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</si>
  <si>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</si>
  <si>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</si>
  <si>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</si>
  <si>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</si>
  <si>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</si>
  <si>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</si>
  <si>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</si>
  <si>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</si>
  <si>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</si>
  <si>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</si>
  <si>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</si>
  <si>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</si>
  <si>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</si>
  <si>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</si>
  <si>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</si>
  <si>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</si>
  <si>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</si>
  <si>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</si>
  <si>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</si>
  <si>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</si>
  <si>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</si>
  <si>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</si>
  <si>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</si>
  <si>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</si>
  <si>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</si>
  <si>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</si>
  <si>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</si>
  <si>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</si>
  <si>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</si>
  <si>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</si>
  <si>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</si>
  <si>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</si>
  <si>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</si>
  <si>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</si>
  <si>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</si>
  <si>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</si>
  <si>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</si>
  <si>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</si>
  <si>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</si>
  <si>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</si>
  <si>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</si>
  <si>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</si>
  <si>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</si>
  <si>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</si>
  <si>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</si>
  <si>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</si>
  <si>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</si>
  <si>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</si>
  <si>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</si>
  <si>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</si>
  <si>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</si>
  <si>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</si>
  <si>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</si>
  <si>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</si>
  <si>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</si>
  <si>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</si>
  <si>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</si>
  <si>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</si>
  <si>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</si>
  <si>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</si>
  <si>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</si>
  <si>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</si>
  <si>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</si>
  <si>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</si>
  <si>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</si>
  <si>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</si>
  <si>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</si>
  <si>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</si>
  <si>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</si>
  <si>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</si>
  <si>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</si>
  <si>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</si>
  <si>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</si>
  <si>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</si>
  <si>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</si>
  <si>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</si>
  <si>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</si>
  <si>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</si>
  <si>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</si>
  <si>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</si>
  <si>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</si>
  <si>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</si>
  <si>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</si>
  <si>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</si>
  <si>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</si>
  <si>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</si>
  <si>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</si>
  <si>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</si>
  <si>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</si>
  <si>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</si>
  <si>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</si>
  <si>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</si>
  <si>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</si>
  <si>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</si>
  <si>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</si>
  <si>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</si>
  <si>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</si>
  <si>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</si>
  <si>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</si>
  <si>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</si>
  <si>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</si>
  <si>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</si>
  <si>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</si>
  <si>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</si>
  <si>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</si>
  <si>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</si>
  <si>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</si>
  <si>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</si>
  <si>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</si>
  <si>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</si>
  <si>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</si>
  <si>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</si>
  <si>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</si>
  <si>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</si>
  <si>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</si>
  <si>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</si>
  <si>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</si>
  <si>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</si>
  <si>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</si>
  <si>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</si>
  <si>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</si>
  <si>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</si>
  <si>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</si>
  <si>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</si>
  <si>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</si>
  <si>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</si>
  <si>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</si>
  <si>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</si>
  <si>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</si>
  <si>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</si>
  <si>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</si>
  <si>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</si>
  <si>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</si>
  <si>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</si>
  <si>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</si>
  <si>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</si>
  <si>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</si>
  <si>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</si>
  <si>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</si>
  <si>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</si>
  <si>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</si>
  <si>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</si>
  <si>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</si>
  <si>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</si>
  <si>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</si>
  <si>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</si>
  <si>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</si>
  <si>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</si>
  <si>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</si>
  <si>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</si>
  <si>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</si>
  <si>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</si>
  <si>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</si>
  <si>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</si>
  <si>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</si>
  <si>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</si>
  <si>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</si>
  <si>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</si>
  <si>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</si>
  <si>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</si>
  <si>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</si>
  <si>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</si>
  <si>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</si>
  <si>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</si>
  <si>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</si>
  <si>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</si>
  <si>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</si>
  <si>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</si>
  <si>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</si>
  <si>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</si>
  <si>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</si>
  <si>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</si>
  <si>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</si>
  <si>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</si>
  <si>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</si>
  <si>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</si>
  <si>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</si>
  <si>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</si>
  <si>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</si>
  <si>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</si>
  <si>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</si>
  <si>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</si>
  <si>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</si>
  <si>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</si>
  <si>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</si>
  <si>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</si>
  <si>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</si>
  <si>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</si>
  <si>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</si>
  <si>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</si>
  <si>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</si>
  <si>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</si>
  <si>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</si>
  <si>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</si>
  <si>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</si>
  <si>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</si>
  <si>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</si>
  <si>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</si>
  <si>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</si>
  <si>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</si>
  <si>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</si>
  <si>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</si>
  <si>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</si>
  <si>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</si>
  <si>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</si>
  <si>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</si>
  <si>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</si>
  <si>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</si>
  <si>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</si>
  <si>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</si>
  <si>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</si>
  <si>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</si>
  <si>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</si>
  <si>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</si>
  <si>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</si>
  <si>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</si>
  <si>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</si>
  <si>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</si>
  <si>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</si>
  <si>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</si>
  <si>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</si>
  <si>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</si>
  <si>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</si>
  <si>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</si>
  <si>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</si>
  <si>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</si>
  <si>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</si>
  <si>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</si>
  <si>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</si>
  <si>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</si>
  <si>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</si>
  <si>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</si>
  <si>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</si>
  <si>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</si>
  <si>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</si>
  <si>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</si>
  <si>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</si>
  <si>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</si>
  <si>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</si>
  <si>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</si>
  <si>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</si>
  <si>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</si>
  <si>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</si>
  <si>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</si>
  <si>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</si>
  <si>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</si>
  <si>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</si>
  <si>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</si>
  <si>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</si>
  <si>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</si>
  <si>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</si>
  <si>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</si>
  <si>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</si>
  <si>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</si>
  <si>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</si>
  <si>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</si>
  <si>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</si>
  <si>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</si>
  <si>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</si>
  <si>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</si>
  <si>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</si>
  <si>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</si>
  <si>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</si>
  <si>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</si>
  <si>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</si>
  <si>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</si>
  <si>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</si>
  <si>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</si>
  <si>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</si>
  <si>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</si>
  <si>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</si>
  <si>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</si>
  <si>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</si>
  <si>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</si>
  <si>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</si>
  <si>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</si>
  <si>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</si>
  <si>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</si>
  <si>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</si>
  <si>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</si>
  <si>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</si>
  <si>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</si>
  <si>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</si>
  <si>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</si>
  <si>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</si>
  <si>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</si>
  <si>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</si>
  <si>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</si>
  <si>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</si>
  <si>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</si>
  <si>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</si>
  <si>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</si>
  <si>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</si>
  <si>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</si>
  <si>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</si>
  <si>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</si>
  <si>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</si>
  <si>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</si>
  <si>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</si>
  <si>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</si>
  <si>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</si>
  <si>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</si>
  <si>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</si>
  <si>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</si>
  <si>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</si>
  <si>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</si>
  <si>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</si>
  <si>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</si>
  <si>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</si>
  <si>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</si>
  <si>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</si>
  <si>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</si>
  <si>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</si>
  <si>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</si>
  <si>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</si>
  <si>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</si>
  <si>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</si>
  <si>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</si>
  <si>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</si>
  <si>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</si>
  <si>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</si>
  <si>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</si>
  <si>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</si>
  <si>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</si>
  <si>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</si>
  <si>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</si>
  <si>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</si>
  <si>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</si>
  <si>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</si>
  <si>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</si>
  <si>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</si>
  <si>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</si>
  <si>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</si>
  <si>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</si>
  <si>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</si>
  <si>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</si>
  <si>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</si>
  <si>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</si>
  <si>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</si>
  <si>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</si>
  <si>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</si>
  <si>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</si>
  <si>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</si>
  <si>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</si>
  <si>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</si>
  <si>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</si>
  <si>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</si>
  <si>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</si>
  <si>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</si>
  <si>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</si>
  <si>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</si>
  <si>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</si>
  <si>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</si>
  <si>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</si>
  <si>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</si>
  <si>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</si>
  <si>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</si>
  <si>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</si>
  <si>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</si>
  <si>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</si>
  <si>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</si>
  <si>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</si>
  <si>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</si>
  <si>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</si>
  <si>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</si>
  <si>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</si>
  <si>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</si>
  <si>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</si>
  <si>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</si>
  <si>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</si>
  <si>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</si>
  <si>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</si>
  <si>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</si>
  <si>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</si>
  <si>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</si>
  <si>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</si>
  <si>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</si>
  <si>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</si>
  <si>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</si>
  <si>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</si>
  <si>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</si>
  <si>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</si>
  <si>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</si>
  <si>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</si>
  <si>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</si>
  <si>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</si>
  <si>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</si>
  <si>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</si>
  <si>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</si>
  <si>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</si>
  <si>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</si>
  <si>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</si>
  <si>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</si>
  <si>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</si>
  <si>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</si>
  <si>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</si>
  <si>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</si>
  <si>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</si>
  <si>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</si>
  <si>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</si>
  <si>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</si>
  <si>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</si>
  <si>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</si>
  <si>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</si>
  <si>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</si>
  <si>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</si>
  <si>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</si>
  <si>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</si>
  <si>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</si>
  <si>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</si>
  <si>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</si>
  <si>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</si>
  <si>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</si>
  <si>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</si>
  <si>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</si>
  <si>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</si>
  <si>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</si>
  <si>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</si>
  <si>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</si>
  <si>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</si>
  <si>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</si>
  <si>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</si>
  <si>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</si>
  <si>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</si>
  <si>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</si>
  <si>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</si>
  <si>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</si>
  <si>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</si>
  <si>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</si>
  <si>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</si>
  <si>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</si>
  <si>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</si>
  <si>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</si>
  <si>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</si>
  <si>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</si>
  <si>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</si>
  <si>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</si>
  <si>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</si>
  <si>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</si>
  <si>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</si>
  <si>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</si>
  <si>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</si>
  <si>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</si>
  <si>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</si>
  <si>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</si>
  <si>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</si>
  <si>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</si>
  <si>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</si>
  <si>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</si>
  <si>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</si>
  <si>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</si>
  <si>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</si>
  <si>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</si>
  <si>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</si>
  <si>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</si>
  <si>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</si>
  <si>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</si>
  <si>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</si>
  <si>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</si>
  <si>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</si>
  <si>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</si>
  <si>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</si>
  <si>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</si>
  <si>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</si>
  <si>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</si>
  <si>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</si>
  <si>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</si>
  <si>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</si>
  <si>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</si>
  <si>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</si>
  <si>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</si>
  <si>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</si>
  <si>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</si>
  <si>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</si>
  <si>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</si>
  <si>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</si>
  <si>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</si>
  <si>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</si>
  <si>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</si>
  <si>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</si>
  <si>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</si>
  <si>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</si>
  <si>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</si>
  <si>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</si>
  <si>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</si>
  <si>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</si>
  <si>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</si>
  <si>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</si>
  <si>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</si>
  <si>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</si>
  <si>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</si>
  <si>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</si>
  <si>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</si>
  <si>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</si>
  <si>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</si>
  <si>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</si>
  <si>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</si>
  <si>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</si>
  <si>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</si>
  <si>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</si>
  <si>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</si>
  <si>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</si>
  <si>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</si>
  <si>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</si>
  <si>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</si>
  <si>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</si>
  <si>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</si>
  <si>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</si>
  <si>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</si>
  <si>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</si>
  <si>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</si>
  <si>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</si>
  <si>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</si>
  <si>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</si>
  <si>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</si>
  <si>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</si>
  <si>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</si>
  <si>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</si>
  <si>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</si>
  <si>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</si>
  <si>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</si>
  <si>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</si>
  <si>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</si>
  <si>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</si>
  <si>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</si>
  <si>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</si>
  <si>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</si>
  <si>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</si>
  <si>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</si>
  <si>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</si>
  <si>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</si>
  <si>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</si>
  <si>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</si>
  <si>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</si>
  <si>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</si>
  <si>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</si>
  <si>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</si>
  <si>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</si>
  <si>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</si>
  <si>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</si>
  <si>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</si>
  <si>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</si>
  <si>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</si>
  <si>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</si>
  <si>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</si>
  <si>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</si>
  <si>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</si>
  <si>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</si>
  <si>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</si>
  <si>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</si>
  <si>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</si>
  <si>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</si>
  <si>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</si>
  <si>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</si>
  <si>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</si>
  <si>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</si>
  <si>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</si>
  <si>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</si>
  <si>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</si>
  <si>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</si>
  <si>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</si>
  <si>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</si>
  <si>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</si>
  <si>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</si>
  <si>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</si>
  <si>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</si>
  <si>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</si>
  <si>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</si>
  <si>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</si>
  <si>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</si>
  <si>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</si>
  <si>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</si>
  <si>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</si>
  <si>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</si>
  <si>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</si>
  <si>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</si>
  <si>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</si>
  <si>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</si>
  <si>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</si>
  <si>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</si>
  <si>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</si>
  <si>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</si>
  <si>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</si>
  <si>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</si>
  <si>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</si>
  <si>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</si>
  <si>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</si>
  <si>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</si>
  <si>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</si>
  <si>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</si>
  <si>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</si>
  <si>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</si>
  <si>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</si>
  <si>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</si>
  <si>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</si>
  <si>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</si>
  <si>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</si>
  <si>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</si>
  <si>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</si>
  <si>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</si>
  <si>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</si>
  <si>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</si>
  <si>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</si>
  <si>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</si>
  <si>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</si>
  <si>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</si>
  <si>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</si>
  <si>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</si>
  <si>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</si>
  <si>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</si>
  <si>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</si>
  <si>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</si>
  <si>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</si>
  <si>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</si>
  <si>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</si>
  <si>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</si>
  <si>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</si>
  <si>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</si>
  <si>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</si>
  <si>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</si>
  <si>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</si>
  <si>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</si>
  <si>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</si>
  <si>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</si>
  <si>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</si>
  <si>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</si>
  <si>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</si>
  <si>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</si>
  <si>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</si>
  <si>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</si>
  <si>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</si>
  <si>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</si>
  <si>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</si>
  <si>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</si>
  <si>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</si>
  <si>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</si>
  <si>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</si>
  <si>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</si>
  <si>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</si>
  <si>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</si>
  <si>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</si>
  <si>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</si>
  <si>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</si>
  <si>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</si>
  <si>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</si>
  <si>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</si>
  <si>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</si>
  <si>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</si>
  <si>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</si>
  <si>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</si>
  <si>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</si>
  <si>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</si>
  <si>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</si>
  <si>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</si>
  <si>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</si>
  <si>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</si>
  <si>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</si>
  <si>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</si>
  <si>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</si>
  <si>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</si>
  <si>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</si>
  <si>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</si>
  <si>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</si>
  <si>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</si>
  <si>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</si>
  <si>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</si>
  <si>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</si>
  <si>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</si>
  <si>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</si>
  <si>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</si>
  <si>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</si>
  <si>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</si>
  <si>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</si>
  <si>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</si>
  <si>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</si>
  <si>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</si>
  <si>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</si>
  <si>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</si>
  <si>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</si>
  <si>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</si>
  <si>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</si>
  <si>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</si>
  <si>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</si>
  <si>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</si>
  <si>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</si>
  <si>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</si>
  <si>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</si>
  <si>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</si>
  <si>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</si>
  <si>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</si>
  <si>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</si>
  <si>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</si>
  <si>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</si>
  <si>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</si>
  <si>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</si>
  <si>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</si>
  <si>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</si>
  <si>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</si>
  <si>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</si>
  <si>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</si>
  <si>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</si>
  <si>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</si>
  <si>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</si>
  <si>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</si>
  <si>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</si>
  <si>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</si>
  <si>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</si>
  <si>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</si>
  <si>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</si>
  <si>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</si>
  <si>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</si>
  <si>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</si>
  <si>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</si>
  <si>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</si>
  <si>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</si>
  <si>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</si>
  <si>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</si>
  <si>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</si>
  <si>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</si>
  <si>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</si>
  <si>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</si>
  <si>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</si>
  <si>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</si>
  <si>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</si>
  <si>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</si>
  <si>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</si>
  <si>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</si>
  <si>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</si>
  <si>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</si>
  <si>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</si>
  <si>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</si>
  <si>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</si>
  <si>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</si>
  <si>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</si>
  <si>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</si>
  <si>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</si>
  <si>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</si>
  <si>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</si>
  <si>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</si>
  <si>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</si>
  <si>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</si>
  <si>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</si>
  <si>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</si>
  <si>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</si>
  <si>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</si>
  <si>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</si>
  <si>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</si>
  <si>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</si>
  <si>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</si>
  <si>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</si>
  <si>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</si>
  <si>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</si>
  <si>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</si>
  <si>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</si>
  <si>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</si>
  <si>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</si>
  <si>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</si>
  <si>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</si>
  <si>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</si>
  <si>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</si>
  <si>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</si>
  <si>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</si>
  <si>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</si>
  <si>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</si>
  <si>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</si>
  <si>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</si>
  <si>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</si>
  <si>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</si>
  <si>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</si>
  <si>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</si>
  <si>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</si>
  <si>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</si>
  <si>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</si>
  <si>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</si>
  <si>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</si>
  <si>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</si>
  <si>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</si>
  <si>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</si>
  <si>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</si>
  <si>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</si>
  <si>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</si>
  <si>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</si>
  <si>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</si>
  <si>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</si>
  <si>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</si>
  <si>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</si>
  <si>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</si>
  <si>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</si>
  <si>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</si>
  <si>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</si>
  <si>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</si>
  <si>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</si>
  <si>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</si>
  <si>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</si>
  <si>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</si>
  <si>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</si>
  <si>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</si>
  <si>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</si>
  <si>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</si>
  <si>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</si>
  <si>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</si>
  <si>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</si>
  <si>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</si>
  <si>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</si>
  <si>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</si>
  <si>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</si>
  <si>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</si>
  <si>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</si>
  <si>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</si>
  <si>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</si>
  <si>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</si>
  <si>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</si>
  <si>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</si>
  <si>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</si>
  <si>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</si>
  <si>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</si>
  <si>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</si>
  <si>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</si>
  <si>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</si>
  <si>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</si>
  <si>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</si>
  <si>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</si>
  <si>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</si>
  <si>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</si>
  <si>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</si>
  <si>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</si>
  <si>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</si>
  <si>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</si>
  <si>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</si>
  <si>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</si>
  <si>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</si>
  <si>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</si>
  <si>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</si>
  <si>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</si>
  <si>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</si>
  <si>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</si>
  <si>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</si>
  <si>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</si>
  <si>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</si>
  <si>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</si>
  <si>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</si>
  <si>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</si>
  <si>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</si>
  <si>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</si>
  <si>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</si>
  <si>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</si>
  <si>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</si>
  <si>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</si>
  <si>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</si>
  <si>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</si>
  <si>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</si>
  <si>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</si>
  <si>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</si>
  <si>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</si>
  <si>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</si>
  <si>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</si>
  <si>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</si>
  <si>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</si>
  <si>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</si>
  <si>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</si>
  <si>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</si>
  <si>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</si>
  <si>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</si>
  <si>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</si>
  <si>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</si>
  <si>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</si>
  <si>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</si>
  <si>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</si>
  <si>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</si>
  <si>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</si>
  <si>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</si>
  <si>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</si>
  <si>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</si>
  <si>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</si>
  <si>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</si>
  <si>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</si>
  <si>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</si>
  <si>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</si>
  <si>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</si>
  <si>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</si>
  <si>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</si>
  <si>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</si>
  <si>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</si>
  <si>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</si>
  <si>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</si>
  <si>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</si>
  <si>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</si>
  <si>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</si>
  <si>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</si>
  <si>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</si>
  <si>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</si>
  <si>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</si>
  <si>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</si>
  <si>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</si>
  <si>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</si>
  <si>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</si>
  <si>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</si>
  <si>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</si>
  <si>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</si>
  <si>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</si>
  <si>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</si>
  <si>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</si>
  <si>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</si>
  <si>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</si>
  <si>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</si>
  <si>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</si>
  <si>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</si>
  <si>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</si>
  <si>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</si>
  <si>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</si>
  <si>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</si>
  <si>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</si>
  <si>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</si>
  <si>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</si>
  <si>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</si>
  <si>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</si>
  <si>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</si>
  <si>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</si>
  <si>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</si>
  <si>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</si>
  <si>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</si>
  <si>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</si>
  <si>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</si>
  <si>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</si>
  <si>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</si>
  <si>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</si>
  <si>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</si>
  <si>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</si>
  <si>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</si>
  <si>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</si>
  <si>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</si>
  <si>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</si>
  <si>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</si>
  <si>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</si>
  <si>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</si>
  <si>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</si>
  <si>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</si>
  <si>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</si>
  <si>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</si>
  <si>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</si>
  <si>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</si>
  <si>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</si>
  <si>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</si>
  <si>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</si>
  <si>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</si>
  <si>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</si>
  <si>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</si>
  <si>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</si>
  <si>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</si>
  <si>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</si>
  <si>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</si>
  <si>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</si>
  <si>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</si>
  <si>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</si>
  <si>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</si>
  <si>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</si>
  <si>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</si>
  <si>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</si>
  <si>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</si>
  <si>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</si>
  <si>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</si>
  <si>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</si>
  <si>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</si>
  <si>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</si>
  <si>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</si>
  <si>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</si>
  <si>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</si>
  <si>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</si>
  <si>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</si>
  <si>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</si>
  <si>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</si>
  <si>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</si>
  <si>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</si>
  <si>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</si>
  <si>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</si>
  <si>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</si>
  <si>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</si>
  <si>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</si>
  <si>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</si>
  <si>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</si>
  <si>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</si>
  <si>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</si>
  <si>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</si>
  <si>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</si>
  <si>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</si>
  <si>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</si>
  <si>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</si>
  <si>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</si>
  <si>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</si>
  <si>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</si>
  <si>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</si>
  <si>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</si>
  <si>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</si>
  <si>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</si>
  <si>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</si>
  <si>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</si>
  <si>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</si>
  <si>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</si>
  <si>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</si>
  <si>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</si>
  <si>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</si>
  <si>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</si>
  <si>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</si>
  <si>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</si>
  <si>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</si>
  <si>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</si>
  <si>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</si>
  <si>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</si>
  <si>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</si>
  <si>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</si>
  <si>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</si>
  <si>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</si>
  <si>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</si>
  <si>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</si>
  <si>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</si>
  <si>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</si>
  <si>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</si>
  <si>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</si>
  <si>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</si>
  <si>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</si>
  <si>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</si>
  <si>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</si>
  <si>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</si>
  <si>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</si>
  <si>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</si>
  <si>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</si>
  <si>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</si>
  <si>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</si>
  <si>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</si>
  <si>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</si>
  <si>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</si>
  <si>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</si>
  <si>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</si>
  <si>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</si>
  <si>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</si>
  <si>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</si>
  <si>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</si>
  <si>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</si>
  <si>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</si>
  <si>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</si>
  <si>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</si>
  <si>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</si>
  <si>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</si>
  <si>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</si>
  <si>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</si>
  <si>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</si>
  <si>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</si>
  <si>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</si>
  <si>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</si>
  <si>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</si>
  <si>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</si>
  <si>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</si>
  <si>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</si>
  <si>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</si>
  <si>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</si>
  <si>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</si>
  <si>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</si>
  <si>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</si>
  <si>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</si>
  <si>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</si>
  <si>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</si>
  <si>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</si>
  <si>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</si>
  <si>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</si>
  <si>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</si>
  <si>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</si>
  <si>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</si>
  <si>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</si>
  <si>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</si>
  <si>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</si>
  <si>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</si>
  <si>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</si>
  <si>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</si>
  <si>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</si>
  <si>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</si>
  <si>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</si>
  <si>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</si>
  <si>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</si>
  <si>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</si>
  <si>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</si>
  <si>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</si>
  <si>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</si>
  <si>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</si>
  <si>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</si>
  <si>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</si>
  <si>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</si>
  <si>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</si>
  <si>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</si>
  <si>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</si>
  <si>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</si>
  <si>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</si>
  <si>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</si>
  <si>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</si>
  <si>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</si>
  <si>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</si>
  <si>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</si>
  <si>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</si>
  <si>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</si>
  <si>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</si>
  <si>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</si>
  <si>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</si>
  <si>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</si>
  <si>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</si>
  <si>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</si>
  <si>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</si>
  <si>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</si>
  <si>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</si>
  <si>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</si>
  <si>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</si>
  <si>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</si>
  <si>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</si>
  <si>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</si>
  <si>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</si>
  <si>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</si>
  <si>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</si>
  <si>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</si>
  <si>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</si>
  <si>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</si>
  <si>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</si>
  <si>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</si>
  <si>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</si>
  <si>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</si>
  <si>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</si>
  <si>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</si>
  <si>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</si>
  <si>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</si>
  <si>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</si>
  <si>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</si>
  <si>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</si>
  <si>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</si>
  <si>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</si>
  <si>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</si>
  <si>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</si>
  <si>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</si>
  <si>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</si>
  <si>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</si>
  <si>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</si>
  <si>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</si>
  <si>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</si>
  <si>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</si>
  <si>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</si>
  <si>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</si>
  <si>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</si>
  <si>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</si>
  <si>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</si>
  <si>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</si>
  <si>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</si>
  <si>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</si>
  <si>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</si>
  <si>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</si>
  <si>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</si>
  <si>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</si>
  <si>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</si>
  <si>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</si>
  <si>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</si>
  <si>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</si>
  <si>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</si>
  <si>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</si>
  <si>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</si>
  <si>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</si>
  <si>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</si>
  <si>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</si>
  <si>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</si>
  <si>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</si>
  <si>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</si>
  <si>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</si>
  <si>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</si>
  <si>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</si>
  <si>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</si>
  <si>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</si>
  <si>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</si>
  <si>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</si>
  <si>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</si>
  <si>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</si>
  <si>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</si>
  <si>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</si>
  <si>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</si>
  <si>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</si>
  <si>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</si>
  <si>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</si>
  <si>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</si>
  <si>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</si>
  <si>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</si>
  <si>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</si>
  <si>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</si>
  <si>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</si>
  <si>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</si>
  <si>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</si>
  <si>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</si>
  <si>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</si>
  <si>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</si>
  <si>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</si>
  <si>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</si>
  <si>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</si>
  <si>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</si>
  <si>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</si>
  <si>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</si>
  <si>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</si>
  <si>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</si>
  <si>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</si>
  <si>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</si>
  <si>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</si>
  <si>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</si>
  <si>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</si>
  <si>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</si>
  <si>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</si>
  <si>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</si>
  <si>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</si>
  <si>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</si>
  <si>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</si>
  <si>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</si>
  <si>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</si>
  <si>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</si>
  <si>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</si>
  <si>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</si>
  <si>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</si>
  <si>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</si>
  <si>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</si>
  <si>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</si>
  <si>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</si>
  <si>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</si>
  <si>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</si>
  <si>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</si>
  <si>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</si>
  <si>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</si>
  <si>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</si>
  <si>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</si>
  <si>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</si>
  <si>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</si>
  <si>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</si>
  <si>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</si>
  <si>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</si>
  <si>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</si>
  <si>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</si>
  <si>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</si>
  <si>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</si>
  <si>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</si>
  <si>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</si>
  <si>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</si>
  <si>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</si>
  <si>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</si>
  <si>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</si>
  <si>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</si>
  <si>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</si>
  <si>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</si>
  <si>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</si>
  <si>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</si>
  <si>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</si>
  <si>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</si>
  <si>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</si>
  <si>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</si>
  <si>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</si>
  <si>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</si>
  <si>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</si>
  <si>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</si>
  <si>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</si>
  <si>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</si>
  <si>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</si>
  <si>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</si>
  <si>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</si>
  <si>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</si>
  <si>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</si>
  <si>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</si>
  <si>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</si>
  <si>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</si>
  <si>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</si>
  <si>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</si>
  <si>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</si>
  <si>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</si>
  <si>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</si>
  <si>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</si>
  <si>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</si>
  <si>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</si>
  <si>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</si>
  <si>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</si>
  <si>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</si>
  <si>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</si>
  <si>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</si>
  <si>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</si>
  <si>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</si>
  <si>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</si>
  <si>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</si>
  <si>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</si>
  <si>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</si>
  <si>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</si>
  <si>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</si>
  <si>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</si>
  <si>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</si>
  <si>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</si>
  <si>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</si>
  <si>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</si>
  <si>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</si>
  <si>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</si>
  <si>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</si>
  <si>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</si>
  <si>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</si>
  <si>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</si>
  <si>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</si>
  <si>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</si>
  <si>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</si>
  <si>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</si>
  <si>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</si>
  <si>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</si>
  <si>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</si>
  <si>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</si>
  <si>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</si>
  <si>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</si>
  <si>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</si>
  <si>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</si>
  <si>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</si>
  <si>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</si>
  <si>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</si>
  <si>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</si>
  <si>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</si>
  <si>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</si>
  <si>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</si>
  <si>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</si>
  <si>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</si>
  <si>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</si>
  <si>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</si>
  <si>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</si>
  <si>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</si>
  <si>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</si>
  <si>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</si>
  <si>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</si>
  <si>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</si>
  <si>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</si>
  <si>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</si>
  <si>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</si>
  <si>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</si>
  <si>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</si>
  <si>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</si>
  <si>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</si>
  <si>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</si>
  <si>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</si>
  <si>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</si>
  <si>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</si>
  <si>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</si>
  <si>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</si>
  <si>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</si>
  <si>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</si>
  <si>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</si>
  <si>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</si>
  <si>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</si>
  <si>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</si>
  <si>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</si>
  <si>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</si>
  <si>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</si>
  <si>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</si>
  <si>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</si>
  <si>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</si>
  <si>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</si>
  <si>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</si>
  <si>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</si>
  <si>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</si>
  <si>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</si>
  <si>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</si>
  <si>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</si>
  <si>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</si>
  <si>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</si>
  <si>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</si>
  <si>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</si>
  <si>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</si>
  <si>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</si>
  <si>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</si>
  <si>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</si>
  <si>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</si>
  <si>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</si>
  <si>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</si>
  <si>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</si>
  <si>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</si>
  <si>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</si>
  <si>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</si>
  <si>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</si>
  <si>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</si>
  <si>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</si>
  <si>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</si>
  <si>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</si>
  <si>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</si>
  <si>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</si>
  <si>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</si>
  <si>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</si>
  <si>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</si>
  <si>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</si>
  <si>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</si>
  <si>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</si>
  <si>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</si>
  <si>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</si>
  <si>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</si>
  <si>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</si>
  <si>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</si>
  <si>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</si>
  <si>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</si>
  <si>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</si>
  <si>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</si>
  <si>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</si>
  <si>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</si>
  <si>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</si>
  <si>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</si>
  <si>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</si>
  <si>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</si>
  <si>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</si>
  <si>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</si>
  <si>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</si>
  <si>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</si>
  <si>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</si>
  <si>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</si>
  <si>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</si>
  <si>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</si>
  <si>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</si>
  <si>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</si>
  <si>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</si>
  <si>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</si>
  <si>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</si>
  <si>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</si>
  <si>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</si>
  <si>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</si>
  <si>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</si>
  <si>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</si>
  <si>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</si>
  <si>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</si>
  <si>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</si>
  <si>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</si>
  <si>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</si>
  <si>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</si>
  <si>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</si>
  <si>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</si>
  <si>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</si>
  <si>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</si>
  <si>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</si>
  <si>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</si>
  <si>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</si>
  <si>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</si>
  <si>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</si>
  <si>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</si>
  <si>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</si>
  <si>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</si>
  <si>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</si>
  <si>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</si>
  <si>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</si>
  <si>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</si>
  <si>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</si>
  <si>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</si>
  <si>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</si>
  <si>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</si>
  <si>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</si>
  <si>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</si>
  <si>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</si>
  <si>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</si>
  <si>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</si>
  <si>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</si>
  <si>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</si>
  <si>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</si>
  <si>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</si>
  <si>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</si>
  <si>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</si>
  <si>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</si>
  <si>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</si>
  <si>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</si>
  <si>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</si>
  <si>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</si>
  <si>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</si>
  <si>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</si>
  <si>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</si>
  <si>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</si>
  <si>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</si>
  <si>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</si>
  <si>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</si>
  <si>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</si>
  <si>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</si>
  <si>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</si>
  <si>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</si>
  <si>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</si>
  <si>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</si>
  <si>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</si>
  <si>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</si>
  <si>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</si>
  <si>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</si>
  <si>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</si>
  <si>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</si>
  <si>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</si>
  <si>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</si>
  <si>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</si>
  <si>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</si>
  <si>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</si>
  <si>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</si>
  <si>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</si>
  <si>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</si>
  <si>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</si>
  <si>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</si>
  <si>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</si>
  <si>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</si>
  <si>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</si>
  <si>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</si>
  <si>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</si>
  <si>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</si>
  <si>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</si>
  <si>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</si>
  <si>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</si>
  <si>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</si>
  <si>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</si>
  <si>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</si>
  <si>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</si>
  <si>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</si>
  <si>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</si>
  <si>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</si>
  <si>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</si>
  <si>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</si>
  <si>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</si>
  <si>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</si>
  <si>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</si>
  <si>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</si>
  <si>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</si>
  <si>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</si>
  <si>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</si>
  <si>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</si>
  <si>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</si>
  <si>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</si>
  <si>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</si>
  <si>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</si>
  <si>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</si>
  <si>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</si>
  <si>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</si>
  <si>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</si>
  <si>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</si>
  <si>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</si>
  <si>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</si>
  <si>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</si>
  <si>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</si>
  <si>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</si>
  <si>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</si>
  <si>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</si>
  <si>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</si>
  <si>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</si>
  <si>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</si>
  <si>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</si>
  <si>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</si>
  <si>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</si>
  <si>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</si>
  <si>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</si>
  <si>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</si>
  <si>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</si>
  <si>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</si>
  <si>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</si>
  <si>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</si>
  <si>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</si>
  <si>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</si>
  <si>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</si>
  <si>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</si>
  <si>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</si>
  <si>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</si>
  <si>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</si>
  <si>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</si>
  <si>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</si>
  <si>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</si>
  <si>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</si>
  <si>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</si>
  <si>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</si>
  <si>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</si>
  <si>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</si>
  <si>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</si>
  <si>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</si>
  <si>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</si>
  <si>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</si>
  <si>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</si>
  <si>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</si>
  <si>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</si>
  <si>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</si>
  <si>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</si>
  <si>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</si>
  <si>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</si>
  <si>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</si>
  <si>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</si>
  <si>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</si>
  <si>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</si>
  <si>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</si>
  <si>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</si>
  <si>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</si>
  <si>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</si>
  <si>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</si>
  <si>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</si>
  <si>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</si>
  <si>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</si>
  <si>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</si>
  <si>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</si>
  <si>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</si>
  <si>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</si>
  <si>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</si>
  <si>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</si>
  <si>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</si>
  <si>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</si>
  <si>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</si>
  <si>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</si>
  <si>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</si>
  <si>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</si>
  <si>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</si>
  <si>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</si>
  <si>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</si>
  <si>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</si>
  <si>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</si>
  <si>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</si>
  <si>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</si>
  <si>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</si>
  <si>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</si>
  <si>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</si>
  <si>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</si>
  <si>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</si>
  <si>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</si>
  <si>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</si>
  <si>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</si>
  <si>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</si>
  <si>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</si>
  <si>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</si>
  <si>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</si>
  <si>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</si>
  <si>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</si>
  <si>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</si>
  <si>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</si>
  <si>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</si>
  <si>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</si>
  <si>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</si>
  <si>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</si>
  <si>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</si>
  <si>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</si>
  <si>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</si>
  <si>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</si>
  <si>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</si>
  <si>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</si>
  <si>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</si>
  <si>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</si>
  <si>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</si>
  <si>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</si>
  <si>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</si>
  <si>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</si>
  <si>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</si>
  <si>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</si>
  <si>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</si>
  <si>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</si>
  <si>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</si>
  <si>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</si>
  <si>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</si>
  <si>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</si>
  <si>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</si>
  <si>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</si>
  <si>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</si>
  <si>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</si>
  <si>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</si>
  <si>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</si>
  <si>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</si>
  <si>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</si>
  <si>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</si>
  <si>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</si>
  <si>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</si>
  <si>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</si>
  <si>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</si>
  <si>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</si>
  <si>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</si>
  <si>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</si>
  <si>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</si>
  <si>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</si>
  <si>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</si>
  <si>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</si>
  <si>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</si>
  <si>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</si>
  <si>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</si>
  <si>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</si>
  <si>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</si>
  <si>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</si>
  <si>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</si>
  <si>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</si>
  <si>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</si>
  <si>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</si>
  <si>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</si>
  <si>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</si>
  <si>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</si>
  <si>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</si>
  <si>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</si>
  <si>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</si>
  <si>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</si>
  <si>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</si>
  <si>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</si>
  <si>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</si>
  <si>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</si>
  <si>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</si>
  <si>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</si>
  <si>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</si>
  <si>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</si>
  <si>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</si>
  <si>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</si>
  <si>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</si>
  <si>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</si>
  <si>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</si>
  <si>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</si>
  <si>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</si>
  <si>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</si>
  <si>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</si>
  <si>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</si>
  <si>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</si>
  <si>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</si>
  <si>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</si>
  <si>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</si>
  <si>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</si>
  <si>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</si>
  <si>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</si>
  <si>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</si>
  <si>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</si>
  <si>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</si>
  <si>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</si>
  <si>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</si>
  <si>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</si>
  <si>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</si>
  <si>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</si>
  <si>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</si>
  <si>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</si>
  <si>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</si>
  <si>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</si>
  <si>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</si>
  <si>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</si>
  <si>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</si>
  <si>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</si>
  <si>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</si>
  <si>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</si>
  <si>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</si>
  <si>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</si>
  <si>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</si>
  <si>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</si>
  <si>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</si>
  <si>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</si>
  <si>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</si>
  <si>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</si>
  <si>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</si>
  <si>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</si>
  <si>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</si>
  <si>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</si>
  <si>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</si>
  <si>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</si>
  <si>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</si>
  <si>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</si>
  <si>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</si>
  <si>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</si>
  <si>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</si>
  <si>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</si>
  <si>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</si>
  <si>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</si>
  <si>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</si>
  <si>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</si>
  <si>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</si>
  <si>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</si>
  <si>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</si>
  <si>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</si>
  <si>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</si>
  <si>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</si>
  <si>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</si>
  <si>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</si>
  <si>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</si>
  <si>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</si>
  <si>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</si>
  <si>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</si>
  <si>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</si>
  <si>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</si>
  <si>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</si>
  <si>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</si>
  <si>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</si>
  <si>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</si>
  <si>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</si>
  <si>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</si>
  <si>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</si>
  <si>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</si>
  <si>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</si>
  <si>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</si>
  <si>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</si>
  <si>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</si>
  <si>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</si>
  <si>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</si>
  <si>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</si>
  <si>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</si>
  <si>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</si>
  <si>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</si>
  <si>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</si>
  <si>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</si>
  <si>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</si>
  <si>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</si>
  <si>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</si>
  <si>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</si>
  <si>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</si>
  <si>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</si>
  <si>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</si>
  <si>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</si>
  <si>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</si>
  <si>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</si>
  <si>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</si>
  <si>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</si>
  <si>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</si>
  <si>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</si>
  <si>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</si>
  <si>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</si>
  <si>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</si>
  <si>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</si>
  <si>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</si>
  <si>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</si>
  <si>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</si>
  <si>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</si>
  <si>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</si>
  <si>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</si>
  <si>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</si>
  <si>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</si>
  <si>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</si>
  <si>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</si>
  <si>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</si>
  <si>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</si>
  <si>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</si>
  <si>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</si>
  <si>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</si>
  <si>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</si>
  <si>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</si>
  <si>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</si>
  <si>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</si>
  <si>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</si>
  <si>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</si>
  <si>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</si>
  <si>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</si>
  <si>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</si>
  <si>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</si>
  <si>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</si>
  <si>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</si>
  <si>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</si>
  <si>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</si>
  <si>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</si>
  <si>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</si>
  <si>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</si>
  <si>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</si>
  <si>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</si>
  <si>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</si>
  <si>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</si>
  <si>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</si>
  <si>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</si>
  <si>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</si>
  <si>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</si>
  <si>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</si>
  <si>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</si>
  <si>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</si>
  <si>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</si>
  <si>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</si>
  <si>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</si>
  <si>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</si>
  <si>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</si>
  <si>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</si>
  <si>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</si>
  <si>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</si>
  <si>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</si>
  <si>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</si>
  <si>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</si>
  <si>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</si>
  <si>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</si>
  <si>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</si>
  <si>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</si>
  <si>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</si>
  <si>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</si>
  <si>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</si>
  <si>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</si>
  <si>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</si>
  <si>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</si>
  <si>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</si>
  <si>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</si>
  <si>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</si>
  <si>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</si>
  <si>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</si>
  <si>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</si>
  <si>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</si>
  <si>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</si>
  <si>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</si>
  <si>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</si>
  <si>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</si>
  <si>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</si>
  <si>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</si>
  <si>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</si>
  <si>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</si>
  <si>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</si>
  <si>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</si>
  <si>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</si>
  <si>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</si>
  <si>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</si>
  <si>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</si>
  <si>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</si>
  <si>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</si>
  <si>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</si>
  <si>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</si>
  <si>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</si>
  <si>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</si>
  <si>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</si>
  <si>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</si>
  <si>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</si>
  <si>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</si>
  <si>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</si>
  <si>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</si>
  <si>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</si>
  <si>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</si>
  <si>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</si>
  <si>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</si>
  <si>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</si>
  <si>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</si>
  <si>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</si>
  <si>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</si>
  <si>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</si>
  <si>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</si>
  <si>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</si>
  <si>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</si>
  <si>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</si>
  <si>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</si>
  <si>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</si>
  <si>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</si>
  <si>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</si>
  <si>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</si>
  <si>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</si>
  <si>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</si>
  <si>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</si>
  <si>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</si>
  <si>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</si>
  <si>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</si>
  <si>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</si>
  <si>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</si>
  <si>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</si>
  <si>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</si>
  <si>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</si>
  <si>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</si>
  <si>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</si>
  <si>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</si>
  <si>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</si>
  <si>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</si>
  <si>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</si>
  <si>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</si>
  <si>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</si>
  <si>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</si>
  <si>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</si>
  <si>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</si>
  <si>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</si>
  <si>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</si>
  <si>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</si>
  <si>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</si>
  <si>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</si>
  <si>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</si>
  <si>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</si>
  <si>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</si>
  <si>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</si>
  <si>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</si>
  <si>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</si>
  <si>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</si>
  <si>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</si>
  <si>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</si>
  <si>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</si>
  <si>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</si>
  <si>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</si>
  <si>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</si>
  <si>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</si>
  <si>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</si>
  <si>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</si>
  <si>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</si>
  <si>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</si>
  <si>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</si>
  <si>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</si>
  <si>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</si>
  <si>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</si>
  <si>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</si>
  <si>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</si>
  <si>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</si>
  <si>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</si>
  <si>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</si>
  <si>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</si>
  <si>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</si>
  <si>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</si>
  <si>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</si>
  <si>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</si>
  <si>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</si>
  <si>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</si>
  <si>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</si>
  <si>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</si>
  <si>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</si>
  <si>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</si>
  <si>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</si>
  <si>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</si>
  <si>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</si>
  <si>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</si>
  <si>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</si>
  <si>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</si>
  <si>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</si>
  <si>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</si>
  <si>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</si>
  <si>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</si>
  <si>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</si>
  <si>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</si>
  <si>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</si>
  <si>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</si>
  <si>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</si>
  <si>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</si>
  <si>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</si>
  <si>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</si>
  <si>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</si>
  <si>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</si>
  <si>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</si>
  <si>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</si>
  <si>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</si>
  <si>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</si>
  <si>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</si>
  <si>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</si>
  <si>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</si>
  <si>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</si>
  <si>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</si>
  <si>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</si>
  <si>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</si>
  <si>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</si>
  <si>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</si>
  <si>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</si>
  <si>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</si>
  <si>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</si>
  <si>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</si>
  <si>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</si>
  <si>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</si>
  <si>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</si>
  <si>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</si>
  <si>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</si>
  <si>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</si>
  <si>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</si>
  <si>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</si>
  <si>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</si>
  <si>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</si>
  <si>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</si>
  <si>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</si>
  <si>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</si>
  <si>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</si>
  <si>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</si>
  <si>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</si>
  <si>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</si>
  <si>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</si>
  <si>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</si>
  <si>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</si>
  <si>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</si>
  <si>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</si>
  <si>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</si>
  <si>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</si>
  <si>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</si>
  <si>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</si>
  <si>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</si>
  <si>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</si>
  <si>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</si>
  <si>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</si>
  <si>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</si>
  <si>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</si>
  <si>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</si>
  <si>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</si>
  <si>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</si>
  <si>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</si>
  <si>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</si>
  <si>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</si>
  <si>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</si>
  <si>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</si>
  <si>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</si>
  <si>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</si>
  <si>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</si>
  <si>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</si>
  <si>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</si>
  <si>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</si>
  <si>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</si>
  <si>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</si>
  <si>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</si>
  <si>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</si>
  <si>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</si>
  <si>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</si>
  <si>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</si>
  <si>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</si>
  <si>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</si>
  <si>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</si>
  <si>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</si>
  <si>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</si>
  <si>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</si>
  <si>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</si>
  <si>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</si>
  <si>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</si>
  <si>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</si>
  <si>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</si>
  <si>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</si>
  <si>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</si>
  <si>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</si>
  <si>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</si>
  <si>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</si>
  <si>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</si>
  <si>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</si>
  <si>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</si>
  <si>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</si>
  <si>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</si>
  <si>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</si>
  <si>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</si>
  <si>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</si>
  <si>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</si>
  <si>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</si>
  <si>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</si>
  <si>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</si>
  <si>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</si>
  <si>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</si>
  <si>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</si>
  <si>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</si>
  <si>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</si>
  <si>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</si>
  <si>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</si>
  <si>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</si>
  <si>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</si>
  <si>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</si>
  <si>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</si>
  <si>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</si>
  <si>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</si>
  <si>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</si>
  <si>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</si>
  <si>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</si>
  <si>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</si>
  <si>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</si>
  <si>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</si>
  <si>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</si>
  <si>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</si>
  <si>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</si>
  <si>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</si>
  <si>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</si>
  <si>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</si>
  <si>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</si>
  <si>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</si>
  <si>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</si>
  <si>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</si>
  <si>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</si>
  <si>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</si>
  <si>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</si>
  <si>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</si>
  <si>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</si>
  <si>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</si>
  <si>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</si>
  <si>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</si>
  <si>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</si>
  <si>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</si>
  <si>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</si>
  <si>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</si>
  <si>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</si>
  <si>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</si>
  <si>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</si>
  <si>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</si>
  <si>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</si>
  <si>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</si>
  <si>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</si>
  <si>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</si>
  <si>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</si>
  <si>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</si>
  <si>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</si>
  <si>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</si>
  <si>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</si>
  <si>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</si>
  <si>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</si>
  <si>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</si>
  <si>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</si>
  <si>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</si>
  <si>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</si>
  <si>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</si>
  <si>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</si>
  <si>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</si>
  <si>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</si>
  <si>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</si>
  <si>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</si>
  <si>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</si>
  <si>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</si>
  <si>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</si>
  <si>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</si>
  <si>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</si>
  <si>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</si>
  <si>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</si>
  <si>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</si>
  <si>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</si>
  <si>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</si>
  <si>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</si>
  <si>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</si>
  <si>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</si>
  <si>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</si>
  <si>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</si>
  <si>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</si>
  <si>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</si>
  <si>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</si>
  <si>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</si>
  <si>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</si>
  <si>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</si>
  <si>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</si>
  <si>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</si>
  <si>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</si>
  <si>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</si>
  <si>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</si>
  <si>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</si>
  <si>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</si>
  <si>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</si>
  <si>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</si>
  <si>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</si>
  <si>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</si>
  <si>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</si>
  <si>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</si>
  <si>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</si>
  <si>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</si>
  <si>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</si>
  <si>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</si>
  <si>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</si>
  <si>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</si>
  <si>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</si>
  <si>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</si>
  <si>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</si>
  <si>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</si>
  <si>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</si>
  <si>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</si>
  <si>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</si>
  <si>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</si>
  <si>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</si>
  <si>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</si>
  <si>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</si>
  <si>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</si>
  <si>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</si>
  <si>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</si>
  <si>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</si>
  <si>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</si>
  <si>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</si>
  <si>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</si>
  <si>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</si>
  <si>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</si>
  <si>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</si>
  <si>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</si>
  <si>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</si>
  <si>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</si>
  <si>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</si>
  <si>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</si>
  <si>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</si>
  <si>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</si>
  <si>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</si>
  <si>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</si>
  <si>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</si>
  <si>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</si>
  <si>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</si>
  <si>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</si>
  <si>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</si>
  <si>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</si>
  <si>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</si>
  <si>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</si>
  <si>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</si>
  <si>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</si>
  <si>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</si>
  <si>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</si>
  <si>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</si>
  <si>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</si>
  <si>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</si>
  <si>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</si>
  <si>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</si>
  <si>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</si>
  <si>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</si>
  <si>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</si>
  <si>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</si>
  <si>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</si>
  <si>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</si>
  <si>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</si>
  <si>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</si>
  <si>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</si>
  <si>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</si>
  <si>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</si>
  <si>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</si>
  <si>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</si>
  <si>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</si>
  <si>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</si>
  <si>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</si>
  <si>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</si>
  <si>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</si>
  <si>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</si>
  <si>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</si>
  <si>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</si>
  <si>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</si>
  <si>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</si>
  <si>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</si>
  <si>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</si>
  <si>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</si>
  <si>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</si>
  <si>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</si>
  <si>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</si>
  <si>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</si>
  <si>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</si>
  <si>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</si>
  <si>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</si>
  <si>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</si>
  <si>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</si>
  <si>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</si>
  <si>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</si>
  <si>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</si>
  <si>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</si>
  <si>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</si>
  <si>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</si>
  <si>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</si>
  <si>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</si>
  <si>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</si>
  <si>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</si>
  <si>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</si>
  <si>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</si>
  <si>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</si>
  <si>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</si>
  <si>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</si>
  <si>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</si>
  <si>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</si>
  <si>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</si>
  <si>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</si>
  <si>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</si>
  <si>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</si>
  <si>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</si>
  <si>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</si>
  <si>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</si>
  <si>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</si>
  <si>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</si>
  <si>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</si>
  <si>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</si>
  <si>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</si>
  <si>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</si>
  <si>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</si>
  <si>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</si>
  <si>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</si>
  <si>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</si>
  <si>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</si>
  <si>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</si>
  <si>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</si>
  <si>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</si>
  <si>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</si>
  <si>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</si>
  <si>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</si>
  <si>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</si>
  <si>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</si>
  <si>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</si>
  <si>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</si>
  <si>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</si>
  <si>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</si>
  <si>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</si>
  <si>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</si>
  <si>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</si>
  <si>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</si>
  <si>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</si>
  <si>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</si>
  <si>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</si>
  <si>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</si>
  <si>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</si>
  <si>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</si>
  <si>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</si>
  <si>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</si>
  <si>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</si>
  <si>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</si>
  <si>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</si>
  <si>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</si>
  <si>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</si>
  <si>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</si>
  <si>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</si>
  <si>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</si>
  <si>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</si>
  <si>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</si>
  <si>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</si>
  <si>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</si>
  <si>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</si>
  <si>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</si>
  <si>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</si>
  <si>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</si>
  <si>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</si>
  <si>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</si>
  <si>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</si>
  <si>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</si>
  <si>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</si>
  <si>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</si>
  <si>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</si>
  <si>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</si>
  <si>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</si>
  <si>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</si>
  <si>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</si>
  <si>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</si>
  <si>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</si>
  <si>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</si>
  <si>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</si>
  <si>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</si>
  <si>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</si>
  <si>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</si>
  <si>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</si>
  <si>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</si>
  <si>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</si>
  <si>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</si>
  <si>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</si>
  <si>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</si>
  <si>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</si>
  <si>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</si>
  <si>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</si>
  <si>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</si>
  <si>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</si>
  <si>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</si>
  <si>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</si>
  <si>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</si>
  <si>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</si>
  <si>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</si>
  <si>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</si>
  <si>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</si>
  <si>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</si>
  <si>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</si>
  <si>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</si>
  <si>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</si>
  <si>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</si>
  <si>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</si>
  <si>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</si>
  <si>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</si>
  <si>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</si>
  <si>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</si>
  <si>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</si>
  <si>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</si>
  <si>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</si>
  <si>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</si>
  <si>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</si>
  <si>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</si>
  <si>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</si>
  <si>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</si>
  <si>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</si>
  <si>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</si>
  <si>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</si>
  <si>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</si>
  <si>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</si>
  <si>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</si>
  <si>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</si>
  <si>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</si>
  <si>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</si>
  <si>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</si>
  <si>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</si>
  <si>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</si>
  <si>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</si>
  <si>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</si>
  <si>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</si>
  <si>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</si>
  <si>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</si>
  <si>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</si>
  <si>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</si>
  <si>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</si>
  <si>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</si>
  <si>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</si>
  <si>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</si>
  <si>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</si>
  <si>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</si>
  <si>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</si>
  <si>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</si>
  <si>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</si>
  <si>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</si>
  <si>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</si>
  <si>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</si>
  <si>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</si>
  <si>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</si>
  <si>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</si>
  <si>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</si>
  <si>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</si>
  <si>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</si>
  <si>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</si>
  <si>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</si>
  <si>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</si>
  <si>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</si>
  <si>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</si>
  <si>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</si>
  <si>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</si>
  <si>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</si>
  <si>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</si>
  <si>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</si>
  <si>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</si>
  <si>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</si>
  <si>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</si>
  <si>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</si>
  <si>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</si>
  <si>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</si>
  <si>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</si>
  <si>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</si>
  <si>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</si>
  <si>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</si>
  <si>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</si>
  <si>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</si>
  <si>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</si>
  <si>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</si>
  <si>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</si>
  <si>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</si>
  <si>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</si>
  <si>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</si>
  <si>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</si>
  <si>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</si>
  <si>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</si>
  <si>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</si>
  <si>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</si>
  <si>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</si>
  <si>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</si>
  <si>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</si>
  <si>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</si>
  <si>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</si>
  <si>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</si>
  <si>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</si>
  <si>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</si>
  <si>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</si>
  <si>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</si>
  <si>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</si>
  <si>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</si>
  <si>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</si>
  <si>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</si>
  <si>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</si>
  <si>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</si>
  <si>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</si>
  <si>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</si>
  <si>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</si>
  <si>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</si>
  <si>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</si>
  <si>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</si>
  <si>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</si>
  <si>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</si>
  <si>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</si>
  <si>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</si>
  <si>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</si>
  <si>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</si>
  <si>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</si>
  <si>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</si>
  <si>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</si>
  <si>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</si>
  <si>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</si>
  <si>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</si>
  <si>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</si>
  <si>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</si>
  <si>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</si>
  <si>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</si>
  <si>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</si>
  <si>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</si>
  <si>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</si>
  <si>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</si>
  <si>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</si>
  <si>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</si>
  <si>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</si>
  <si>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</si>
  <si>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</si>
  <si>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</si>
  <si>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</si>
  <si>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</si>
  <si>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</si>
  <si>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</si>
  <si>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</si>
  <si>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</si>
  <si>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</si>
  <si>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</si>
  <si>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</si>
  <si>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</si>
  <si>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</si>
  <si>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</si>
  <si>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</si>
  <si>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</si>
  <si>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</si>
  <si>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</si>
  <si>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</si>
  <si>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</si>
  <si>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</si>
  <si>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</si>
  <si>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</si>
  <si>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</si>
  <si>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</si>
  <si>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</si>
  <si>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</si>
  <si>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</si>
  <si>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</si>
  <si>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</si>
  <si>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</si>
  <si>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</si>
  <si>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</si>
  <si>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</si>
  <si>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</si>
  <si>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</si>
  <si>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</si>
  <si>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</si>
  <si>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</si>
  <si>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</si>
  <si>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</si>
  <si>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</si>
  <si>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</si>
  <si>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</si>
  <si>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</si>
  <si>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</si>
  <si>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</si>
  <si>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</si>
  <si>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</si>
  <si>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</si>
  <si>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</si>
  <si>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</si>
  <si>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</si>
  <si>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</si>
  <si>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</si>
  <si>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</si>
  <si>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</si>
  <si>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</si>
  <si>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</si>
  <si>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</si>
  <si>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</si>
  <si>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</si>
  <si>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</si>
  <si>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</si>
  <si>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</si>
  <si>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</si>
  <si>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</si>
  <si>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</si>
  <si>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</si>
  <si>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</si>
  <si>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</si>
  <si>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</si>
  <si>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</si>
  <si>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</si>
  <si>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</si>
  <si>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</si>
  <si>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</si>
  <si>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</si>
  <si>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</si>
  <si>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</si>
  <si>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</si>
  <si>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</si>
  <si>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</si>
  <si>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</si>
  <si>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</si>
  <si>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</si>
  <si>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</si>
  <si>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</si>
  <si>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</si>
  <si>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</si>
  <si>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</si>
  <si>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</si>
  <si>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</si>
  <si>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</si>
  <si>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</si>
  <si>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</si>
  <si>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</si>
  <si>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</si>
  <si>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</si>
  <si>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</si>
  <si>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</si>
  <si>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</si>
  <si>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</si>
  <si>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</si>
  <si>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</si>
  <si>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</si>
  <si>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</si>
  <si>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</si>
  <si>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</si>
  <si>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</si>
  <si>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</si>
  <si>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</si>
  <si>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</si>
  <si>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</si>
  <si>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</si>
  <si>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</si>
  <si>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</si>
  <si>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</si>
  <si>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</si>
  <si>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</si>
  <si>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</si>
  <si>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</si>
  <si>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</si>
  <si>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</si>
  <si>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</si>
  <si>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</si>
  <si>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</si>
  <si>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</si>
  <si>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</si>
  <si>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</si>
  <si>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</si>
  <si>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</si>
  <si>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</si>
  <si>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</si>
  <si>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</si>
  <si>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</si>
  <si>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</si>
  <si>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</si>
  <si>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</si>
  <si>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</si>
  <si>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</si>
  <si>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</si>
  <si>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</si>
  <si>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</si>
  <si>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</si>
  <si>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</si>
  <si>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</si>
  <si>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</si>
  <si>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</si>
  <si>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</si>
  <si>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</si>
  <si>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</si>
  <si>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</si>
  <si>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</si>
  <si>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</si>
  <si>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</si>
  <si>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</si>
  <si>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</si>
  <si>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</si>
  <si>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</si>
  <si>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</si>
  <si>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</si>
  <si>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</si>
  <si>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</si>
  <si>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</si>
  <si>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</si>
  <si>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</si>
  <si>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</si>
  <si>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</si>
  <si>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</si>
  <si>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</si>
  <si>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</si>
  <si>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</si>
  <si>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</si>
  <si>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</si>
  <si>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</si>
  <si>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</si>
  <si>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</si>
  <si>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</si>
  <si>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</si>
  <si>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</si>
  <si>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</si>
  <si>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</si>
  <si>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</si>
  <si>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</si>
  <si>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</si>
  <si>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</si>
  <si>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</si>
  <si>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</si>
  <si>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</si>
  <si>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</si>
  <si>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</si>
  <si>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</si>
  <si>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</si>
  <si>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</si>
  <si>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</si>
  <si>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</si>
  <si>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</si>
  <si>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</si>
  <si>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</si>
  <si>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</si>
  <si>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</si>
  <si>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</si>
  <si>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</si>
  <si>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</si>
  <si>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</si>
  <si>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</si>
  <si>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</si>
  <si>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</si>
  <si>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</si>
  <si>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</si>
  <si>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</si>
  <si>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</si>
  <si>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</si>
  <si>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</si>
  <si>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</si>
  <si>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</si>
  <si>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</si>
  <si>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</si>
  <si>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</si>
  <si>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</si>
  <si>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</si>
  <si>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</si>
  <si>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</si>
  <si>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</si>
  <si>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</si>
  <si>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</si>
  <si>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</si>
  <si>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</si>
  <si>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</si>
  <si>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</si>
  <si>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</si>
  <si>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</si>
  <si>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</si>
  <si>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</si>
  <si>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</si>
  <si>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</si>
  <si>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</si>
  <si>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</si>
  <si>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</si>
  <si>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</si>
  <si>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</si>
  <si>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</si>
  <si>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</si>
  <si>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</si>
  <si>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</si>
  <si>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</si>
  <si>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</si>
  <si>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</si>
  <si>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</si>
  <si>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</si>
  <si>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</si>
  <si>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</si>
  <si>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</si>
  <si>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</si>
  <si>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</si>
  <si>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</si>
  <si>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</si>
  <si>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</si>
  <si>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</si>
  <si>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</si>
  <si>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</si>
  <si>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</si>
  <si>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</si>
  <si>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</si>
  <si>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</si>
  <si>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</si>
  <si>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</si>
  <si>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</si>
  <si>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</si>
  <si>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</si>
  <si>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</si>
  <si>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</si>
  <si>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</si>
  <si>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</si>
  <si>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</si>
  <si>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</si>
  <si>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</si>
  <si>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</si>
  <si>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</si>
  <si>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</si>
  <si>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</si>
  <si>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</si>
  <si>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</si>
  <si>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</si>
  <si>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</si>
  <si>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</si>
  <si>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</si>
  <si>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</si>
  <si>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</si>
  <si>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</si>
  <si>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</si>
  <si>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</si>
  <si>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</si>
  <si>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</si>
  <si>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</si>
  <si>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</si>
  <si>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</si>
  <si>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</si>
  <si>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</si>
  <si>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</si>
  <si>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</si>
  <si>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</si>
  <si>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</si>
  <si>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</si>
  <si>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</si>
  <si>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</si>
  <si>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</si>
  <si>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</si>
  <si>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</si>
  <si>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</si>
  <si>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</si>
  <si>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</si>
  <si>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</si>
  <si>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</si>
  <si>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</si>
  <si>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</si>
  <si>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</si>
  <si>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</si>
  <si>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</si>
  <si>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</si>
  <si>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</si>
  <si>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</si>
  <si>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</si>
  <si>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</si>
  <si>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</si>
  <si>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</si>
  <si>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</si>
  <si>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</si>
  <si>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</si>
  <si>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</si>
  <si>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</si>
  <si>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</si>
  <si>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</si>
  <si>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</si>
  <si>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</si>
  <si>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</si>
  <si>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</si>
  <si>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</si>
  <si>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</si>
  <si>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</si>
  <si>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</si>
  <si>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</si>
  <si>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</si>
  <si>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</si>
  <si>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</si>
  <si>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</si>
  <si>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</si>
  <si>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</si>
  <si>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</si>
  <si>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</si>
  <si>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</si>
  <si>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</si>
  <si>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</si>
  <si>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</si>
  <si>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</si>
  <si>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</si>
  <si>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</si>
  <si>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</si>
  <si>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</si>
  <si>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</si>
  <si>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</si>
  <si>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</si>
  <si>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</si>
  <si>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</si>
  <si>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</si>
  <si>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</si>
  <si>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</si>
  <si>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</si>
  <si>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</si>
  <si>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</si>
  <si>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</si>
  <si>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</si>
  <si>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</si>
  <si>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</si>
  <si>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</si>
  <si>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</si>
  <si>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</si>
  <si>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</si>
  <si>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</si>
  <si>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</si>
  <si>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</si>
  <si>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</si>
  <si>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</si>
  <si>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</si>
  <si>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</si>
  <si>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</si>
  <si>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</si>
  <si>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</si>
  <si>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</si>
  <si>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</si>
  <si>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</si>
  <si>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</si>
  <si>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</si>
  <si>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</si>
  <si>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</si>
  <si>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</si>
  <si>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</si>
  <si>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</si>
  <si>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</si>
  <si>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</si>
  <si>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</si>
  <si>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</si>
  <si>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</si>
  <si>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</si>
  <si>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</si>
  <si>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</si>
  <si>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</si>
  <si>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</si>
  <si>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</si>
  <si>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</si>
  <si>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</si>
  <si>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</si>
  <si>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</si>
  <si>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</si>
  <si>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</si>
  <si>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</si>
  <si>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</si>
  <si>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</si>
  <si>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</si>
  <si>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</si>
  <si>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</si>
  <si>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</si>
  <si>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</si>
  <si>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</si>
  <si>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</si>
  <si>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</si>
  <si>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</si>
  <si>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</si>
  <si>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</si>
  <si>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</si>
  <si>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</si>
  <si>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</si>
  <si>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</si>
  <si>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</si>
  <si>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</si>
  <si>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</si>
  <si>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</si>
  <si>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</si>
  <si>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</si>
  <si>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</si>
  <si>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</si>
  <si>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</si>
  <si>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</si>
  <si>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</si>
  <si>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</si>
  <si>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</si>
  <si>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</si>
  <si>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</si>
  <si>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</si>
  <si>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</si>
  <si>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</si>
  <si>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</si>
  <si>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</si>
  <si>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</si>
  <si>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</si>
  <si>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</si>
  <si>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</si>
  <si>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</si>
  <si>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</si>
  <si>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</si>
  <si>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</si>
  <si>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</si>
  <si>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</si>
  <si>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</si>
  <si>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</si>
  <si>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</si>
  <si>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</si>
  <si>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</si>
  <si>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</si>
  <si>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</si>
  <si>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</si>
  <si>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</si>
  <si>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</si>
  <si>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</si>
  <si>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</si>
  <si>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</si>
  <si>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</si>
  <si>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</si>
  <si>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</si>
  <si>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</si>
  <si>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</si>
  <si>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</si>
  <si>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</si>
  <si>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</si>
  <si>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</si>
  <si>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</si>
  <si>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</si>
  <si>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</si>
  <si>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</si>
  <si>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</si>
  <si>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</si>
  <si>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</si>
  <si>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</si>
  <si>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</si>
  <si>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</si>
  <si>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</si>
  <si>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</si>
  <si>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</si>
  <si>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</si>
  <si>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</si>
  <si>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</si>
  <si>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</si>
  <si>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</si>
  <si>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</si>
  <si>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</si>
  <si>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</si>
  <si>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</si>
  <si>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</si>
  <si>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</si>
  <si>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</si>
  <si>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</si>
  <si>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</si>
  <si>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</si>
  <si>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</si>
  <si>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</si>
  <si>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</si>
  <si>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</si>
  <si>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</si>
  <si>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</si>
  <si>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</si>
  <si>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</si>
  <si>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</si>
  <si>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</si>
  <si>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</si>
  <si>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</si>
  <si>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</si>
  <si>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</si>
  <si>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</si>
  <si>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</si>
  <si>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</si>
  <si>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</si>
  <si>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</si>
  <si>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</si>
  <si>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</si>
  <si>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</si>
  <si>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</si>
  <si>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</si>
  <si>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</si>
  <si>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</si>
  <si>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</si>
  <si>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</si>
  <si>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</si>
  <si>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</si>
  <si>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</si>
  <si>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</si>
  <si>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</si>
  <si>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</si>
  <si>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</si>
  <si>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</si>
  <si>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</si>
  <si>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</si>
  <si>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</si>
  <si>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</si>
  <si>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</si>
  <si>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</si>
  <si>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</si>
  <si>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</si>
  <si>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</si>
  <si>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</si>
  <si>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</si>
  <si>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</si>
  <si>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</si>
  <si>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</si>
  <si>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</si>
  <si>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</si>
  <si>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</si>
  <si>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</si>
  <si>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</si>
  <si>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</si>
  <si>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</si>
  <si>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</si>
  <si>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</si>
  <si>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</si>
  <si>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</si>
  <si>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</si>
  <si>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</si>
  <si>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</si>
  <si>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</si>
  <si>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</si>
  <si>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</si>
  <si>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</si>
  <si>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</si>
  <si>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</si>
  <si>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</si>
  <si>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</si>
  <si>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</si>
  <si>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</si>
  <si>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</si>
  <si>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</si>
  <si>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</si>
  <si>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</si>
  <si>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</si>
  <si>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</si>
  <si>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</si>
  <si>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</si>
  <si>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</si>
  <si>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</si>
  <si>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</si>
  <si>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</si>
  <si>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</si>
  <si>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</si>
  <si>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</si>
  <si>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</si>
  <si>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</si>
  <si>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</si>
  <si>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</si>
  <si>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</si>
  <si>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</si>
  <si>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</si>
  <si>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</si>
  <si>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</si>
  <si>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</si>
  <si>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</si>
  <si>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</si>
  <si>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</si>
  <si>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</si>
  <si>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</si>
  <si>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</si>
  <si>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</si>
  <si>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</si>
  <si>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</si>
  <si>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</si>
  <si>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</si>
  <si>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</si>
  <si>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</si>
  <si>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</si>
  <si>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</si>
  <si>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</si>
  <si>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</si>
  <si>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</si>
  <si>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</si>
  <si>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</si>
  <si>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</si>
  <si>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</si>
  <si>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</si>
  <si>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</si>
  <si>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</si>
  <si>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</si>
  <si>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</si>
  <si>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</si>
  <si>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</si>
  <si>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</si>
  <si>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</si>
  <si>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</si>
  <si>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</si>
  <si>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</si>
  <si>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</si>
  <si>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</si>
  <si>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</si>
  <si>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</si>
  <si>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</si>
  <si>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</si>
  <si>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</si>
  <si>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</si>
  <si>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</si>
  <si>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</si>
  <si>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</si>
  <si>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</si>
  <si>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</si>
  <si>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</si>
  <si>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</si>
  <si>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</si>
  <si>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</si>
  <si>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</si>
  <si>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</si>
  <si>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</si>
  <si>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</si>
  <si>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</si>
  <si>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</si>
  <si>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</si>
  <si>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</si>
  <si>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</si>
  <si>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</si>
  <si>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</si>
  <si>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</si>
  <si>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</si>
  <si>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</si>
  <si>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</si>
  <si>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</si>
  <si>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</si>
  <si>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</si>
  <si>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</si>
  <si>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</si>
  <si>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</si>
  <si>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</si>
  <si>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</si>
  <si>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</si>
  <si>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</si>
  <si>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</si>
  <si>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</si>
  <si>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</si>
  <si>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</si>
  <si>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</si>
  <si>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</si>
  <si>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</si>
  <si>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</si>
  <si>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</si>
  <si>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</si>
  <si>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</si>
  <si>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</si>
  <si>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</si>
  <si>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</si>
  <si>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</si>
  <si>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</si>
  <si>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</si>
  <si>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</si>
  <si>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</si>
  <si>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</si>
  <si>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</si>
  <si>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</si>
  <si>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</si>
  <si>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</si>
  <si>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</si>
  <si>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</si>
  <si>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</si>
  <si>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</si>
  <si>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</si>
  <si>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</si>
  <si>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</si>
  <si>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</si>
  <si>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</si>
  <si>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</si>
  <si>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</si>
  <si>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</si>
  <si>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</si>
  <si>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</si>
  <si>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</si>
  <si>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</si>
  <si>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</si>
  <si>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</si>
  <si>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</si>
  <si>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</si>
  <si>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</si>
  <si>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</si>
  <si>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</si>
  <si>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</si>
  <si>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</si>
  <si>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</si>
  <si>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</si>
  <si>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</si>
  <si>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</si>
  <si>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</si>
  <si>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</si>
  <si>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</si>
  <si>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</si>
  <si>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</si>
  <si>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</si>
  <si>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</si>
  <si>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</si>
  <si>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</si>
  <si>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</si>
  <si>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</si>
  <si>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</si>
  <si>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</si>
  <si>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</si>
  <si>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</si>
  <si>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</si>
  <si>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</si>
  <si>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</si>
  <si>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</si>
  <si>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</si>
  <si>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</si>
  <si>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</si>
  <si>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</si>
  <si>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</si>
  <si>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</si>
  <si>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</si>
  <si>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</si>
  <si>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</si>
  <si>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</si>
  <si>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</si>
  <si>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</si>
  <si>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</si>
  <si>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</si>
  <si>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</si>
  <si>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</si>
  <si>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</si>
  <si>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</si>
  <si>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</si>
  <si>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</si>
  <si>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</si>
  <si>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</si>
  <si>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</si>
  <si>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</si>
  <si>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</si>
  <si>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</si>
  <si>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</si>
  <si>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</si>
  <si>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</si>
  <si>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</si>
  <si>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</si>
  <si>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</si>
  <si>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</si>
  <si>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</si>
  <si>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</si>
  <si>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</si>
  <si>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</si>
  <si>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</si>
  <si>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</si>
  <si>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</si>
  <si>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</si>
  <si>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</si>
  <si>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</si>
  <si>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</si>
  <si>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</si>
  <si>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</si>
  <si>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</si>
  <si>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</si>
  <si>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</si>
  <si>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</si>
  <si>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</si>
  <si>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</si>
  <si>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</si>
  <si>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</si>
  <si>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</si>
  <si>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</si>
  <si>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</si>
  <si>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</si>
  <si>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</si>
  <si>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</si>
  <si>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</si>
  <si>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</si>
  <si>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</si>
  <si>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</si>
  <si>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</si>
  <si>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</si>
  <si>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</si>
  <si>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</si>
  <si>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</si>
  <si>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</si>
  <si>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</si>
  <si>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</si>
  <si>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</si>
  <si>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</si>
  <si>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</si>
  <si>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</si>
  <si>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</si>
  <si>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</si>
  <si>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</si>
  <si>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</si>
  <si>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</si>
  <si>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</si>
  <si>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</si>
  <si>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</si>
  <si>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</si>
  <si>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</si>
  <si>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</si>
  <si>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</si>
  <si>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</si>
  <si>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</si>
  <si>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</si>
  <si>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</si>
  <si>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</si>
  <si>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</si>
  <si>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</si>
  <si>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</si>
  <si>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</si>
  <si>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</si>
  <si>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</si>
  <si>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</si>
  <si>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</si>
  <si>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</si>
  <si>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</si>
  <si>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</si>
  <si>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</si>
  <si>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</si>
  <si>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</si>
  <si>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</si>
  <si>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</si>
  <si>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</si>
  <si>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</si>
  <si>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</si>
  <si>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</si>
  <si>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</si>
  <si>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</si>
  <si>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</si>
  <si>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</si>
  <si>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</si>
  <si>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</si>
  <si>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</si>
  <si>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</si>
  <si>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</si>
  <si>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</si>
  <si>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</si>
  <si>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</si>
  <si>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</si>
  <si>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</si>
  <si>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</si>
  <si>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</si>
  <si>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</si>
  <si>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</si>
  <si>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</si>
  <si>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</si>
  <si>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</si>
  <si>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</si>
  <si>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</si>
  <si>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</si>
  <si>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</si>
  <si>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</si>
  <si>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</si>
  <si>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</si>
  <si>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</si>
  <si>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</si>
  <si>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</si>
  <si>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</si>
  <si>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</si>
  <si>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</si>
  <si>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</si>
  <si>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</si>
  <si>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</si>
  <si>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</si>
  <si>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</si>
  <si>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</si>
  <si>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</si>
  <si>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</si>
  <si>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</si>
  <si>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</si>
  <si>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</si>
  <si>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</si>
  <si>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</si>
  <si>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</si>
  <si>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</si>
  <si>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</si>
  <si>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</si>
  <si>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</si>
  <si>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</si>
  <si>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</si>
  <si>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</si>
  <si>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</si>
  <si>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</si>
  <si>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</si>
  <si>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</si>
  <si>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</si>
  <si>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</si>
  <si>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</si>
  <si>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</si>
  <si>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</si>
  <si>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</si>
  <si>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</si>
  <si>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</si>
  <si>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</si>
  <si>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</si>
  <si>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</si>
  <si>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</si>
  <si>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</si>
  <si>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</si>
  <si>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</si>
  <si>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</si>
  <si>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</si>
  <si>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</si>
  <si>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</si>
  <si>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</si>
  <si>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</si>
  <si>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</si>
  <si>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</si>
  <si>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</si>
  <si>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</si>
  <si>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</si>
  <si>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</si>
  <si>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</si>
  <si>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</si>
  <si>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</si>
  <si>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</si>
  <si>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</si>
  <si>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</si>
  <si>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</si>
  <si>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</si>
  <si>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</si>
  <si>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</si>
  <si>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</si>
  <si>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</si>
  <si>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</si>
  <si>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</si>
  <si>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</si>
  <si>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</si>
  <si>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</si>
  <si>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</si>
  <si>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</si>
  <si>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</si>
  <si>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</si>
  <si>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</si>
  <si>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</si>
  <si>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</si>
  <si>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</si>
  <si>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</si>
  <si>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</si>
  <si>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</si>
  <si>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</si>
  <si>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</si>
  <si>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</si>
  <si>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</si>
  <si>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</si>
  <si>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</si>
  <si>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</si>
  <si>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</si>
  <si>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</si>
  <si>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</si>
  <si>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</si>
  <si>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</si>
  <si>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</si>
  <si>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</si>
  <si>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</si>
  <si>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</si>
  <si>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</si>
  <si>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</si>
  <si>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</si>
  <si>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</si>
  <si>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</si>
  <si>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</si>
  <si>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</si>
  <si>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</si>
  <si>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</si>
  <si>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</si>
  <si>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</si>
  <si>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</si>
  <si>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</si>
  <si>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</si>
  <si>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</si>
  <si>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</si>
  <si>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</si>
  <si>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</si>
  <si>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</si>
  <si>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</si>
  <si>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</si>
  <si>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</si>
  <si>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</si>
  <si>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</si>
  <si>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</si>
  <si>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</si>
  <si>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</si>
  <si>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</si>
  <si>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</si>
  <si>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</si>
  <si>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</si>
  <si>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</si>
  <si>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</si>
  <si>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</si>
  <si>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</si>
  <si>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</si>
  <si>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</si>
  <si>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</si>
  <si>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</si>
  <si>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</si>
  <si>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</si>
  <si>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</si>
  <si>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</si>
  <si>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</si>
  <si>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</si>
  <si>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</si>
  <si>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</si>
  <si>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</si>
  <si>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</si>
  <si>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</si>
  <si>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</si>
  <si>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</si>
  <si>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</si>
  <si>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</si>
  <si>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</si>
  <si>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</si>
  <si>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</si>
  <si>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</si>
  <si>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</si>
  <si>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</si>
  <si>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</si>
  <si>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</si>
  <si>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</si>
  <si>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</si>
  <si>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</si>
  <si>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</si>
  <si>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</si>
  <si>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</si>
  <si>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</si>
  <si>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</si>
  <si>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</si>
  <si>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</si>
  <si>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</si>
  <si>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</si>
  <si>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</si>
  <si>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</si>
  <si>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</si>
  <si>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</si>
  <si>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</si>
  <si>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</si>
  <si>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</si>
  <si>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</si>
  <si>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</si>
  <si>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</si>
  <si>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</si>
  <si>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</si>
  <si>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</si>
  <si>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</si>
  <si>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</si>
  <si>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</si>
  <si>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</si>
  <si>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</si>
  <si>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</si>
  <si>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</si>
  <si>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</si>
  <si>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</si>
  <si>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</si>
  <si>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</si>
  <si>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</si>
  <si>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</si>
  <si>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</si>
  <si>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</si>
  <si>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</si>
  <si>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</si>
  <si>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</si>
  <si>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</si>
  <si>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</si>
  <si>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</si>
  <si>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</si>
  <si>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</si>
  <si>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</si>
  <si>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</si>
  <si>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</si>
  <si>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</si>
  <si>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</si>
  <si>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</si>
  <si>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</si>
  <si>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</si>
  <si>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</si>
  <si>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</si>
  <si>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</si>
  <si>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</si>
  <si>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</si>
  <si>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</si>
  <si>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</si>
  <si>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</si>
  <si>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</si>
  <si>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</si>
  <si>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</si>
  <si>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</si>
  <si>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</si>
  <si>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</si>
  <si>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</si>
  <si>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</si>
  <si>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</si>
  <si>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</si>
  <si>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</si>
  <si>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</si>
  <si>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</si>
  <si>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</si>
  <si>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</si>
  <si>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</si>
  <si>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</si>
  <si>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</si>
  <si>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</si>
  <si>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</si>
  <si>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</si>
  <si>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</si>
  <si>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</si>
  <si>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</si>
  <si>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</si>
  <si>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</si>
  <si>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</si>
  <si>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</si>
  <si>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</si>
  <si>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</si>
  <si>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</si>
  <si>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</si>
  <si>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</si>
  <si>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</si>
  <si>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</si>
  <si>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</si>
  <si>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</si>
  <si>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</si>
  <si>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</si>
  <si>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</si>
  <si>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</si>
  <si>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</si>
  <si>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</si>
  <si>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</si>
  <si>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</si>
  <si>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</si>
  <si>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</si>
  <si>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</si>
  <si>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</si>
  <si>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</si>
  <si>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</si>
  <si>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</si>
  <si>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</si>
  <si>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</si>
  <si>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</si>
  <si>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</si>
  <si>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</si>
  <si>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</si>
  <si>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</si>
  <si>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</si>
  <si>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</si>
  <si>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</si>
  <si>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</si>
  <si>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</si>
  <si>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</si>
  <si>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</si>
  <si>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</si>
  <si>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</si>
  <si>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</si>
  <si>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</si>
  <si>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</si>
  <si>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</si>
  <si>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</si>
  <si>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</si>
  <si>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</si>
  <si>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</si>
  <si>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</si>
  <si>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</si>
  <si>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</si>
  <si>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</si>
  <si>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</si>
  <si>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</si>
  <si>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</si>
  <si>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</si>
  <si>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</si>
  <si>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</si>
  <si>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</si>
  <si>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</si>
  <si>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</si>
  <si>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</si>
  <si>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</si>
  <si>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</si>
  <si>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</si>
  <si>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Hamton Court, L.P</t>
  </si>
  <si>
    <t xml:space="preserve">203 West Church Street </t>
  </si>
  <si>
    <t xml:space="preserve">Fort Valley </t>
  </si>
  <si>
    <t>GA District 2</t>
  </si>
  <si>
    <t>potemk1@bellsouth.net</t>
  </si>
  <si>
    <t xml:space="preserve">John H. Collins  </t>
  </si>
  <si>
    <t>President</t>
  </si>
  <si>
    <t xml:space="preserve">Potemkin Hampton, L.L.C </t>
  </si>
  <si>
    <t>GA District 3</t>
  </si>
  <si>
    <t xml:space="preserve">John H. Collins </t>
  </si>
  <si>
    <t xml:space="preserve">President </t>
  </si>
  <si>
    <t xml:space="preserve">Affordable Equity Partners </t>
  </si>
  <si>
    <t>206 Peach Way</t>
  </si>
  <si>
    <t xml:space="preserve">Columbia </t>
  </si>
  <si>
    <t xml:space="preserve">Jeffrey E. Smith </t>
  </si>
  <si>
    <t>bkimes@jesmith.com</t>
  </si>
  <si>
    <t xml:space="preserve">206 Peach Way </t>
  </si>
  <si>
    <t>Jeffrey E. Smith</t>
  </si>
  <si>
    <t>Potemkin Development, Inc.</t>
  </si>
  <si>
    <t xml:space="preserve">John Collins </t>
  </si>
  <si>
    <t>203 West Church Street</t>
  </si>
  <si>
    <t xml:space="preserve">Fairway Management </t>
  </si>
  <si>
    <t>William B. Collins, III</t>
  </si>
  <si>
    <t>magitaenterprise@bellsouth.net</t>
  </si>
  <si>
    <t>Arnall, Golden, Gregory, L.L.P</t>
  </si>
  <si>
    <t xml:space="preserve">Atlanta </t>
  </si>
  <si>
    <t xml:space="preserve">Mark Gould </t>
  </si>
  <si>
    <t>Partner</t>
  </si>
  <si>
    <t xml:space="preserve">Habif, Arogeti &amp; Wayne </t>
  </si>
  <si>
    <t>5 Concourse Parkway, Suite 100</t>
  </si>
  <si>
    <t xml:space="preserve">Frank Gudger </t>
  </si>
  <si>
    <t xml:space="preserve">Partner </t>
  </si>
  <si>
    <t>frank.gudger@hawcpa.com</t>
  </si>
  <si>
    <t xml:space="preserve">Wallace Architects </t>
  </si>
  <si>
    <t>Ben Moore</t>
  </si>
  <si>
    <t xml:space="preserve">Project manager </t>
  </si>
  <si>
    <t>3615 W. Broadway</t>
  </si>
  <si>
    <t xml:space="preserve">Sedalia </t>
  </si>
  <si>
    <t>benm@wallacearchitects.com</t>
  </si>
  <si>
    <t>Competitive Round</t>
  </si>
  <si>
    <t xml:space="preserve">203 West Church St. </t>
  </si>
  <si>
    <t xml:space="preserve">Hampton Court </t>
  </si>
  <si>
    <t xml:space="preserve">Intersection of S.hampton Rd. &amp; Hampton Locust Grove Rd. </t>
  </si>
  <si>
    <t>Yes</t>
  </si>
  <si>
    <t>Yes- w/Master Plan</t>
  </si>
  <si>
    <t>No</t>
  </si>
  <si>
    <t>P.O Box 400</t>
  </si>
  <si>
    <t>Mayor</t>
  </si>
  <si>
    <t>Raiford W. Coley</t>
  </si>
  <si>
    <t>Senior (HFOP)</t>
  </si>
  <si>
    <t>Hampton Court</t>
  </si>
  <si>
    <t>August 1st, 2013</t>
  </si>
  <si>
    <t>MF</t>
  </si>
  <si>
    <t>Electric Heat Pump</t>
  </si>
  <si>
    <t>Cancellation Option</t>
  </si>
  <si>
    <t>Identity of interest</t>
  </si>
  <si>
    <t>Basis Boost documentation</t>
  </si>
  <si>
    <t>"Other" from Tab 16: Approved resolution/ordince from City of Hampton</t>
  </si>
  <si>
    <t>Magita Enterprises, Inc.</t>
  </si>
  <si>
    <t>For Profit</t>
  </si>
  <si>
    <t xml:space="preserve">There is an identity of interest between the contractor, developer &amp; general partner. There is also an identity of interest between the Federal limited partner and state limited partner. However, there is NO identity of interest between the developer, general partner &amp; contractor on one hand and either of the limited partners on the other. </t>
  </si>
  <si>
    <t>1-Story</t>
  </si>
  <si>
    <t>Agree</t>
  </si>
  <si>
    <t>Novogradac &amp; Company, LLC</t>
  </si>
  <si>
    <t xml:space="preserve">D.1. Property was rezoning on June 14th 2011. </t>
  </si>
  <si>
    <t>GEC</t>
  </si>
  <si>
    <t>Contract/Option</t>
  </si>
  <si>
    <t>Potemkin-Magita Holdings, LLC</t>
  </si>
  <si>
    <t>City of Hampton</t>
  </si>
  <si>
    <t>Please see minutes under Tab 16.</t>
  </si>
  <si>
    <t>Covered Porch</t>
  </si>
  <si>
    <t>On-site laundry</t>
  </si>
  <si>
    <t>Equipped fitness center</t>
  </si>
  <si>
    <t>Equipped computer center</t>
  </si>
  <si>
    <t>D.1 All units will be accessible from ground level therefore no elevators are necessary.</t>
  </si>
  <si>
    <t>D.2. N/A There will be no two-story buildings.</t>
  </si>
  <si>
    <t>Qualified without Conditions</t>
  </si>
  <si>
    <t xml:space="preserve">Multistate release form is N.A for the developer and general partner. Management company has submitted all release forms to the various states. Uniform release forms will be provided upon </t>
  </si>
  <si>
    <t xml:space="preserve">request. </t>
  </si>
  <si>
    <t>Earth Craft House</t>
  </si>
  <si>
    <t>Stable Communities &lt; 10%</t>
  </si>
  <si>
    <t xml:space="preserve">Construction of a senior center and extension of sidewalks that connects to our site should our project be awarded. </t>
  </si>
  <si>
    <t>$2.3 million (est.)</t>
  </si>
  <si>
    <t>Pass</t>
  </si>
  <si>
    <t>State Boost</t>
  </si>
  <si>
    <t>Third Party Reviews and Inspections</t>
  </si>
  <si>
    <t>*To all Applicants: Real estate taxes shown in Operating Budget should be prior to any tax abatement.  Please provide methodology for real estate tax calculation.                                                                                                                                                                                                                      Please see Tab 8 for estimation of real estate taxes on comparable properties in same county.</t>
  </si>
  <si>
    <t>**To all Applicants: Please provide methodology for insurance calculation.                                                                                                                                                                     Please see Tab 8 for estimation of insurance</t>
  </si>
  <si>
    <t>Affordable Equity Partners</t>
  </si>
  <si>
    <t xml:space="preserve">* To all applicants: please provide methodology for determining applicable construction hard costs.                                                                                                                                                                                                                                   Please see Tab 8 in application binder for schedule of values. </t>
  </si>
  <si>
    <t>Sterling Bank</t>
  </si>
  <si>
    <t>Potemkin Development-DDF</t>
  </si>
  <si>
    <t xml:space="preserve">It will be located at the intersection of Highway 20, S. Hampton Rd. and Hampton Locust Grove Rd.  As can be seen from the neighborhood proximity map, the proposed location is desirable for a population of seniors. It has convenient access into town as well as to I-75, and is ideally placed close to the Atlanta metro area and  McDonough . The project is conveniently located  close to the downtown area with affordable restaurants and other attractions. </t>
  </si>
  <si>
    <t>The site has gently rolling terrain with open areas as well as being fairly wooded with mature trees. Some of the existing large trees will be incorporated into the site design, which, along with decorative fencing will make it attractive setting for a senior complex.</t>
  </si>
  <si>
    <t>This development will consist of 60 two-bedroom units. The buildings will be predominately brick and all units will all be ground entry for the convenience of the targeted population.</t>
  </si>
  <si>
    <t>A very good response has been received from the residents of Hampton about our proposed development.  The development will also have numerous activities and an elaborate clubhouse. These amenities and services will surely contribute to Hampton Court's potential to enhance the health and well-being of the families (seniors) who will call it home.</t>
  </si>
  <si>
    <t xml:space="preserve">Potemkin Development Inc, is home based in central Georgia and this will be very advantageous, not only in the construction of the apartment complex, but also in overseeing the management company as the development is rented initially and over the long term. Potemkin Development also has also developed a good relationship with the mayor, city council, and overall community, as can be seen from their support at the public hearing which was conducted. Potemkin Development looks forward to a long-term relationship with them in the city of Hampton. </t>
  </si>
  <si>
    <t>Please See Tab 8 for breakdwon of tap fees, building permit fees, and impact fees, along with backup documentation from city of Hampton.  These fees are indeed high, but they are what is required by the city of Hampton.</t>
  </si>
  <si>
    <t xml:space="preserve">Hampton Court  is a phased development which will provide quality affordable housing in the picturesque city of Hampton. Hampton  is a an established community with many opportunities for shopping, cultural activities, and relaxation. It is situated approximately  30 miles south of Atlanta.The city of Hampton  is also currently marketing itself as a destination for retirees which when accompanied by the naturally aging population of the community makes it a fertile market for senior housing development.  Recent results of the 2010 census show that Henry County is the 10th fastest growing county in the nation and therefore there is a growing demand for rental housing to meet these needs. Hampton Court is designed to meet the needs of people fifty-five years or older, and we anticipate that we will be catering to recent retirees from the Atlanta. </t>
  </si>
  <si>
    <t xml:space="preserve">The deferred developer fee will be paid out of available cash flow as in the matter set out in Tab 5 "Finance Commitment" under "Other financing Commitments". The proforma used a 10 year amortization of a 0% developer loan to demonstrate that even with the deferred fee payments, there is still a healthy cashflow cushion. </t>
  </si>
  <si>
    <t>&gt;65</t>
  </si>
  <si>
    <t xml:space="preserve">Per the Environmental Study, GEC found that approximately 575 Linear feet of an intermittent stream were delinated on the property. A 100' foot buffer was drawn on the preliminary site plan </t>
  </si>
  <si>
    <t xml:space="preserve">and futhermore, GEC stated that the project would not adversely impact the stream on the property. </t>
  </si>
  <si>
    <t xml:space="preserve">171 Seventeenth Street </t>
  </si>
  <si>
    <t>mark.gould@agg.com</t>
  </si>
  <si>
    <t>Neither</t>
  </si>
  <si>
    <t>12 months</t>
  </si>
  <si>
    <t xml:space="preserve">We had two public meeting held as a part of our rezoning process. The public were invited to attend and ask questions, and all their comments towards our proposed project were positive. </t>
  </si>
  <si>
    <t xml:space="preserve">There is no HOME/HUD financing so this is N/A. </t>
  </si>
  <si>
    <t xml:space="preserve">John H Collins, the owner, and Potemkin Development, Inc. has participated as GP and developer in Cameron Court Phase II, L.P. (2009-056) which closed equity on 10/21/10 and Village at Walkers Bend, L.P. (2010-043) which closed on 06/22/11. See Tab 35 for letters from our two closing attorneys. </t>
  </si>
  <si>
    <t>Prorata Land price equals $800,000 x 15 acres divided by 27.25 total acres= $440,367</t>
  </si>
  <si>
    <t>2011-053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</si>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</sst>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5" borderId="2"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24"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2" xfId="0" applyFont="1" applyBorder="1" applyProtection="1"/>
    <xf numFmtId="0" fontId="58" fillId="0" borderId="38" xfId="0" applyFont="1" applyBorder="1" applyProtection="1"/>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14" xfId="0" applyFont="1" applyBorder="1" applyAlignment="1" applyProtection="1">
      <alignment horizontal="center"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38" xfId="0" applyFont="1" applyFill="1" applyBorder="1" applyAlignment="1" applyProtection="1">
      <alignmen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164" fontId="58" fillId="0" borderId="14" xfId="1"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0" fillId="0" borderId="0" xfId="0"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96" workbookViewId="0">
      <selection activeCell="E207" sqref="E206:E207"/>
    </sheetView>
  </sheetViews>
  <sheetFormatPr defaultColWidth="9.109375" defaultRowHeight="13.2"/>
  <cols>
    <col min="1" max="1" width="3.5546875" style="42" customWidth="1"/>
    <col min="2" max="2" width="2.6640625" style="773" customWidth="1"/>
    <col min="3" max="4" width="16.6640625" style="773" customWidth="1"/>
    <col min="5" max="5" width="45.6640625" style="773" customWidth="1"/>
    <col min="6" max="6" width="44" style="42" customWidth="1"/>
    <col min="7" max="7" width="4.6640625" style="42" customWidth="1"/>
    <col min="8" max="16384" width="9.109375" style="31"/>
  </cols>
  <sheetData>
    <row r="1" spans="1:9" s="42" customFormat="1" ht="14.4" customHeight="1">
      <c r="A1" s="924" t="str">
        <f>CONCATENATE("2011 Application Binder Tabs Checklist For: ",'Part I-Project Information'!$O$4,", ",'Part I-Project Information'!$F$22,", ",'Part I-Project Information'!$J$25," County")</f>
        <v>2011 Application Binder Tabs Checklist For: 2011-053, Hampton Court , Henry County</v>
      </c>
      <c r="B1" s="924"/>
      <c r="C1" s="924"/>
      <c r="D1" s="924"/>
      <c r="E1" s="924"/>
      <c r="F1" s="924"/>
      <c r="G1" s="924"/>
    </row>
    <row r="2" spans="1:9" s="42" customFormat="1" ht="11.4" customHeight="1">
      <c r="A2" s="925" t="s">
        <v>712</v>
      </c>
      <c r="B2" s="926"/>
      <c r="C2" s="926"/>
      <c r="D2" s="926"/>
      <c r="E2" s="926"/>
      <c r="F2" s="926"/>
      <c r="G2" s="926"/>
    </row>
    <row r="3" spans="1:9" s="42" customFormat="1" ht="25.2" customHeight="1">
      <c r="A3" s="918" t="s">
        <v>3828</v>
      </c>
      <c r="B3" s="918"/>
      <c r="C3" s="918"/>
      <c r="D3" s="918"/>
      <c r="E3" s="918"/>
      <c r="F3" s="918"/>
      <c r="G3" s="918"/>
    </row>
    <row r="4" spans="1:9" s="42" customFormat="1" ht="8.25" customHeight="1">
      <c r="A4" s="98"/>
      <c r="B4" s="927" t="s">
        <v>1338</v>
      </c>
      <c r="C4" s="928"/>
      <c r="D4" s="928"/>
      <c r="E4" s="928" t="s">
        <v>3894</v>
      </c>
      <c r="F4" s="933"/>
      <c r="G4" s="99" t="s">
        <v>781</v>
      </c>
    </row>
    <row r="5" spans="1:9" s="42" customFormat="1" ht="8.25" customHeight="1">
      <c r="A5" s="100" t="s">
        <v>783</v>
      </c>
      <c r="B5" s="929"/>
      <c r="C5" s="930"/>
      <c r="D5" s="930"/>
      <c r="E5" s="930"/>
      <c r="F5" s="934"/>
      <c r="G5" s="101" t="s">
        <v>784</v>
      </c>
    </row>
    <row r="6" spans="1:9" s="42" customFormat="1" ht="8.25" customHeight="1">
      <c r="A6" s="102" t="s">
        <v>785</v>
      </c>
      <c r="B6" s="931"/>
      <c r="C6" s="932"/>
      <c r="D6" s="932"/>
      <c r="E6" s="932"/>
      <c r="F6" s="935"/>
      <c r="G6" s="103" t="s">
        <v>786</v>
      </c>
    </row>
    <row r="7" spans="1:9" s="42" customFormat="1" ht="3" customHeight="1">
      <c r="A7" s="100"/>
      <c r="B7" s="394"/>
      <c r="C7" s="394"/>
      <c r="D7" s="394"/>
      <c r="E7" s="306"/>
      <c r="F7" s="712"/>
      <c r="G7" s="311"/>
    </row>
    <row r="8" spans="1:9" s="42" customFormat="1" ht="12.6" customHeight="1" thickBot="1">
      <c r="A8" s="104"/>
      <c r="B8" s="709"/>
      <c r="C8" s="391"/>
      <c r="D8" s="391"/>
      <c r="E8" s="709" t="s">
        <v>1075</v>
      </c>
      <c r="F8" s="391"/>
      <c r="G8" s="750" t="s">
        <v>3963</v>
      </c>
      <c r="I8" s="751"/>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750" t="s">
        <v>3963</v>
      </c>
    </row>
    <row r="11" spans="1:9" s="42" customFormat="1" ht="12" customHeight="1">
      <c r="A11" s="104"/>
      <c r="B11" s="392"/>
      <c r="C11" s="392"/>
      <c r="D11" s="392"/>
      <c r="E11" s="392" t="s">
        <v>2138</v>
      </c>
      <c r="F11" s="392"/>
      <c r="G11" s="750" t="s">
        <v>3963</v>
      </c>
    </row>
    <row r="12" spans="1:9" s="42" customFormat="1" ht="12" customHeight="1">
      <c r="A12" s="104"/>
      <c r="B12" s="392"/>
      <c r="C12" s="418"/>
      <c r="D12" s="752"/>
      <c r="E12" s="392" t="s">
        <v>804</v>
      </c>
      <c r="F12" s="391"/>
      <c r="G12" s="750" t="s">
        <v>3963</v>
      </c>
    </row>
    <row r="13" spans="1:9" s="42" customFormat="1" ht="12" customHeight="1">
      <c r="A13" s="104"/>
      <c r="B13" s="392"/>
      <c r="C13" s="392"/>
      <c r="D13" s="392"/>
      <c r="E13" s="393" t="s">
        <v>638</v>
      </c>
      <c r="F13" s="392"/>
      <c r="G13" s="750" t="s">
        <v>2253</v>
      </c>
    </row>
    <row r="14" spans="1:9" s="42" customFormat="1" ht="12" customHeight="1">
      <c r="A14" s="104"/>
      <c r="B14" s="392"/>
      <c r="C14" s="392"/>
      <c r="D14" s="392"/>
      <c r="E14" s="393" t="s">
        <v>2139</v>
      </c>
      <c r="F14" s="392"/>
      <c r="G14" s="750" t="s">
        <v>3963</v>
      </c>
    </row>
    <row r="15" spans="1:9" s="42" customFormat="1" ht="12" customHeight="1">
      <c r="A15" s="104"/>
      <c r="B15" s="392"/>
      <c r="C15" s="392"/>
      <c r="D15" s="392"/>
      <c r="E15" s="393" t="s">
        <v>805</v>
      </c>
      <c r="F15" s="392"/>
      <c r="G15" s="750" t="s">
        <v>3963</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3768</v>
      </c>
      <c r="F17" s="392"/>
      <c r="G17" s="750" t="s">
        <v>2253</v>
      </c>
    </row>
    <row r="18" spans="1:7" s="42" customFormat="1" ht="3" customHeight="1">
      <c r="A18" s="104"/>
      <c r="B18" s="241"/>
      <c r="C18" s="392"/>
      <c r="D18" s="392"/>
      <c r="E18" s="752"/>
      <c r="F18" s="392"/>
      <c r="G18" s="105"/>
    </row>
    <row r="19" spans="1:7" s="42" customFormat="1" ht="12" customHeight="1">
      <c r="A19" s="104"/>
      <c r="B19" s="241"/>
      <c r="C19" s="407" t="s">
        <v>145</v>
      </c>
      <c r="D19" s="392"/>
      <c r="E19" s="752" t="s">
        <v>146</v>
      </c>
      <c r="F19" s="392"/>
      <c r="G19" s="750" t="s">
        <v>2253</v>
      </c>
    </row>
    <row r="20" spans="1:7" s="42" customFormat="1" ht="3" customHeight="1">
      <c r="A20" s="104"/>
      <c r="B20" s="241"/>
      <c r="C20" s="392"/>
      <c r="D20" s="392"/>
      <c r="E20" s="752"/>
      <c r="F20" s="392"/>
      <c r="G20" s="105"/>
    </row>
    <row r="21" spans="1:7" s="42" customFormat="1" ht="12" customHeight="1">
      <c r="A21" s="100"/>
      <c r="B21" s="394"/>
      <c r="C21" s="407" t="s">
        <v>147</v>
      </c>
      <c r="D21" s="394"/>
      <c r="E21" s="919" t="s">
        <v>149</v>
      </c>
      <c r="F21" s="920"/>
      <c r="G21" s="750" t="s">
        <v>2253</v>
      </c>
    </row>
    <row r="22" spans="1:7" s="42" customFormat="1" ht="12" customHeight="1">
      <c r="A22" s="100"/>
      <c r="B22" s="394"/>
      <c r="C22" s="394"/>
      <c r="D22" s="394"/>
      <c r="E22" s="919" t="s">
        <v>150</v>
      </c>
      <c r="F22" s="920"/>
      <c r="G22" s="750" t="s">
        <v>2253</v>
      </c>
    </row>
    <row r="23" spans="1:7" s="42" customFormat="1" ht="12" customHeight="1">
      <c r="A23" s="100"/>
      <c r="B23" s="394"/>
      <c r="C23" s="394"/>
      <c r="D23" s="394"/>
      <c r="E23" s="396" t="s">
        <v>509</v>
      </c>
      <c r="F23" s="395"/>
      <c r="G23" s="750" t="s">
        <v>2253</v>
      </c>
    </row>
    <row r="24" spans="1:7" s="42" customFormat="1" ht="12" customHeight="1">
      <c r="A24" s="100"/>
      <c r="B24" s="394"/>
      <c r="C24" s="394"/>
      <c r="D24" s="394"/>
      <c r="E24" s="396" t="s">
        <v>510</v>
      </c>
      <c r="F24" s="395"/>
      <c r="G24" s="750" t="s">
        <v>2253</v>
      </c>
    </row>
    <row r="25" spans="1:7" s="42" customFormat="1" ht="3" customHeight="1">
      <c r="A25" s="104"/>
      <c r="B25" s="241"/>
      <c r="C25" s="392"/>
      <c r="D25" s="392"/>
      <c r="E25" s="752"/>
      <c r="F25" s="392"/>
      <c r="G25" s="105"/>
    </row>
    <row r="26" spans="1:7" s="42" customFormat="1" ht="12" customHeight="1">
      <c r="A26" s="104"/>
      <c r="B26" s="709"/>
      <c r="C26" s="407" t="s">
        <v>946</v>
      </c>
      <c r="D26" s="392"/>
      <c r="E26" s="392" t="s">
        <v>3769</v>
      </c>
      <c r="F26" s="392"/>
      <c r="G26" s="750" t="s">
        <v>2253</v>
      </c>
    </row>
    <row r="27" spans="1:7" s="42" customFormat="1" ht="12" customHeight="1">
      <c r="A27" s="104"/>
      <c r="B27" s="392"/>
      <c r="C27" s="392"/>
      <c r="D27" s="392"/>
      <c r="E27" s="752" t="s">
        <v>3503</v>
      </c>
      <c r="F27" s="392"/>
      <c r="G27" s="750" t="s">
        <v>2253</v>
      </c>
    </row>
    <row r="28" spans="1:7" s="42" customFormat="1" ht="12" customHeight="1">
      <c r="A28" s="104"/>
      <c r="B28" s="392"/>
      <c r="C28" s="418"/>
      <c r="D28" s="392"/>
      <c r="E28" s="752" t="s">
        <v>2141</v>
      </c>
      <c r="F28" s="392"/>
      <c r="G28" s="750" t="s">
        <v>2253</v>
      </c>
    </row>
    <row r="29" spans="1:7" s="42" customFormat="1" ht="12" customHeight="1">
      <c r="A29" s="104"/>
      <c r="B29" s="392"/>
      <c r="C29" s="392"/>
      <c r="D29" s="392"/>
      <c r="E29" s="752" t="s">
        <v>2142</v>
      </c>
      <c r="F29" s="392"/>
      <c r="G29" s="750" t="s">
        <v>2253</v>
      </c>
    </row>
    <row r="30" spans="1:7" s="42" customFormat="1" ht="12" customHeight="1">
      <c r="A30" s="104"/>
      <c r="B30" s="392"/>
      <c r="C30" s="392"/>
      <c r="D30" s="392"/>
      <c r="E30" s="752" t="s">
        <v>2855</v>
      </c>
      <c r="F30" s="392"/>
      <c r="G30" s="750" t="s">
        <v>2253</v>
      </c>
    </row>
    <row r="31" spans="1:7" s="42" customFormat="1" ht="12" customHeight="1">
      <c r="A31" s="104"/>
      <c r="B31" s="392"/>
      <c r="C31" s="392"/>
      <c r="D31" s="392"/>
      <c r="E31" s="752" t="s">
        <v>2856</v>
      </c>
      <c r="F31" s="392"/>
      <c r="G31" s="750" t="s">
        <v>2253</v>
      </c>
    </row>
    <row r="32" spans="1:7" s="42" customFormat="1" ht="12" customHeight="1">
      <c r="A32" s="104"/>
      <c r="B32" s="392"/>
      <c r="C32" s="392"/>
      <c r="D32" s="392"/>
      <c r="E32" s="752" t="s">
        <v>2857</v>
      </c>
      <c r="F32" s="392"/>
      <c r="G32" s="750" t="s">
        <v>2253</v>
      </c>
    </row>
    <row r="33" spans="1:7" s="42" customFormat="1" ht="3" customHeight="1">
      <c r="A33" s="104"/>
      <c r="B33" s="392"/>
      <c r="C33" s="392"/>
      <c r="D33" s="392"/>
      <c r="E33" s="752"/>
      <c r="F33" s="392"/>
      <c r="G33" s="105"/>
    </row>
    <row r="34" spans="1:7" s="42" customFormat="1" ht="12" customHeight="1">
      <c r="A34" s="100"/>
      <c r="B34" s="394"/>
      <c r="C34" s="394" t="s">
        <v>1024</v>
      </c>
      <c r="D34" s="394"/>
      <c r="E34" s="396" t="s">
        <v>3575</v>
      </c>
      <c r="F34" s="395"/>
      <c r="G34" s="750" t="s">
        <v>2253</v>
      </c>
    </row>
    <row r="35" spans="1:7" s="42" customFormat="1" ht="12" customHeight="1">
      <c r="A35" s="100"/>
      <c r="B35" s="394"/>
      <c r="C35" s="394"/>
      <c r="D35" s="394"/>
      <c r="E35" s="396" t="s">
        <v>3576</v>
      </c>
      <c r="F35" s="395"/>
      <c r="G35" s="750" t="s">
        <v>2253</v>
      </c>
    </row>
    <row r="36" spans="1:7" s="42" customFormat="1" ht="12" customHeight="1">
      <c r="A36" s="100"/>
      <c r="B36" s="394"/>
      <c r="C36" s="394"/>
      <c r="D36" s="394"/>
      <c r="E36" s="396" t="s">
        <v>184</v>
      </c>
      <c r="F36" s="395"/>
      <c r="G36" s="750" t="s">
        <v>2253</v>
      </c>
    </row>
    <row r="37" spans="1:7" s="42" customFormat="1" ht="12" customHeight="1">
      <c r="A37" s="100"/>
      <c r="B37" s="394"/>
      <c r="C37" s="394"/>
      <c r="D37" s="394"/>
      <c r="E37" s="396" t="s">
        <v>3577</v>
      </c>
      <c r="F37" s="395"/>
      <c r="G37" s="750" t="s">
        <v>2253</v>
      </c>
    </row>
    <row r="38" spans="1:7" s="42" customFormat="1" ht="12" customHeight="1">
      <c r="A38" s="104"/>
      <c r="B38" s="241"/>
      <c r="C38" s="392"/>
      <c r="D38" s="392"/>
      <c r="E38" s="396" t="s">
        <v>3500</v>
      </c>
      <c r="F38" s="392"/>
      <c r="G38" s="750" t="s">
        <v>2253</v>
      </c>
    </row>
    <row r="39" spans="1:7" s="42" customFormat="1" ht="12" customHeight="1">
      <c r="A39" s="104"/>
      <c r="B39" s="241"/>
      <c r="C39" s="392"/>
      <c r="D39" s="392"/>
      <c r="E39" s="396" t="s">
        <v>3910</v>
      </c>
      <c r="F39" s="392"/>
      <c r="G39" s="750" t="s">
        <v>2253</v>
      </c>
    </row>
    <row r="40" spans="1:7" s="42" customFormat="1" ht="12" customHeight="1">
      <c r="A40" s="100"/>
      <c r="B40" s="394"/>
      <c r="C40" s="394"/>
      <c r="D40" s="394"/>
      <c r="E40" s="396" t="s">
        <v>1905</v>
      </c>
      <c r="F40" s="395"/>
      <c r="G40" s="750" t="s">
        <v>2253</v>
      </c>
    </row>
    <row r="41" spans="1:7" s="42" customFormat="1" ht="12" customHeight="1">
      <c r="A41" s="100"/>
      <c r="B41" s="394"/>
      <c r="C41" s="394"/>
      <c r="D41" s="394"/>
      <c r="E41" s="396" t="s">
        <v>1904</v>
      </c>
      <c r="F41" s="395"/>
      <c r="G41" s="750" t="s">
        <v>2253</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750" t="s">
        <v>3963</v>
      </c>
    </row>
    <row r="44" spans="1:7" s="42" customFormat="1" ht="12" customHeight="1">
      <c r="A44" s="104"/>
      <c r="B44" s="241"/>
      <c r="C44" s="709"/>
      <c r="D44" s="392"/>
      <c r="E44" s="396" t="s">
        <v>3421</v>
      </c>
      <c r="F44" s="392"/>
      <c r="G44" s="750" t="s">
        <v>3963</v>
      </c>
    </row>
    <row r="45" spans="1:7" s="42" customFormat="1" ht="12" customHeight="1">
      <c r="A45" s="104"/>
      <c r="B45" s="241"/>
      <c r="C45" s="709"/>
      <c r="D45" s="392"/>
      <c r="E45" s="392" t="s">
        <v>3422</v>
      </c>
      <c r="F45" s="392"/>
      <c r="G45" s="750" t="s">
        <v>2253</v>
      </c>
    </row>
    <row r="46" spans="1:7" s="42" customFormat="1" ht="12" customHeight="1">
      <c r="A46" s="104"/>
      <c r="B46" s="241"/>
      <c r="C46" s="392"/>
      <c r="D46" s="392"/>
      <c r="E46" s="392" t="s">
        <v>3423</v>
      </c>
      <c r="F46" s="392"/>
      <c r="G46" s="750" t="s">
        <v>2253</v>
      </c>
    </row>
    <row r="47" spans="1:7" s="42" customFormat="1" ht="24.6" customHeight="1">
      <c r="A47" s="104"/>
      <c r="B47" s="241"/>
      <c r="C47" s="392"/>
      <c r="D47" s="392"/>
      <c r="E47" s="921" t="s">
        <v>3859</v>
      </c>
      <c r="F47" s="922"/>
      <c r="G47" s="750" t="s">
        <v>3963</v>
      </c>
    </row>
    <row r="48" spans="1:7" s="42" customFormat="1" ht="12" customHeight="1">
      <c r="A48" s="104"/>
      <c r="B48" s="241"/>
      <c r="C48" s="392"/>
      <c r="D48" s="392"/>
      <c r="E48" s="392" t="s">
        <v>3484</v>
      </c>
      <c r="F48" s="396"/>
      <c r="G48" s="750" t="s">
        <v>3963</v>
      </c>
    </row>
    <row r="49" spans="1:7" s="42" customFormat="1" ht="12" customHeight="1">
      <c r="A49" s="104"/>
      <c r="B49" s="241"/>
      <c r="C49" s="392"/>
      <c r="D49" s="392"/>
      <c r="E49" s="396" t="s">
        <v>3424</v>
      </c>
      <c r="F49" s="396"/>
      <c r="G49" s="750" t="s">
        <v>3963</v>
      </c>
    </row>
    <row r="50" spans="1:7" s="42" customFormat="1" ht="12" customHeight="1">
      <c r="A50" s="107"/>
      <c r="B50" s="241"/>
      <c r="C50" s="392"/>
      <c r="D50" s="392"/>
      <c r="E50" s="917" t="s">
        <v>466</v>
      </c>
      <c r="F50" s="908"/>
      <c r="G50" s="750" t="s">
        <v>2253</v>
      </c>
    </row>
    <row r="51" spans="1:7" s="42" customFormat="1" ht="12" customHeight="1">
      <c r="A51" s="387">
        <v>4</v>
      </c>
      <c r="B51" s="753" t="s">
        <v>1022</v>
      </c>
      <c r="C51" s="392"/>
      <c r="D51" s="392"/>
      <c r="E51" s="752" t="s">
        <v>1411</v>
      </c>
      <c r="F51" s="392"/>
      <c r="G51" s="750" t="s">
        <v>3963</v>
      </c>
    </row>
    <row r="52" spans="1:7" s="42" customFormat="1" ht="12" customHeight="1">
      <c r="A52" s="387"/>
      <c r="B52" s="753"/>
      <c r="C52" s="392"/>
      <c r="D52" s="392"/>
      <c r="E52" s="752" t="s">
        <v>3583</v>
      </c>
      <c r="F52" s="392"/>
      <c r="G52" s="750" t="s">
        <v>2253</v>
      </c>
    </row>
    <row r="53" spans="1:7" s="42" customFormat="1" ht="12.6" customHeight="1">
      <c r="A53" s="104"/>
      <c r="B53" s="392"/>
      <c r="C53" s="392"/>
      <c r="D53" s="752"/>
      <c r="E53" s="397" t="s">
        <v>3546</v>
      </c>
      <c r="F53" s="396"/>
      <c r="G53" s="750" t="s">
        <v>2253</v>
      </c>
    </row>
    <row r="54" spans="1:7" s="42" customFormat="1" ht="12.6" customHeight="1">
      <c r="A54" s="104"/>
      <c r="B54" s="392"/>
      <c r="C54" s="392"/>
      <c r="D54" s="752"/>
      <c r="E54" s="397" t="s">
        <v>3766</v>
      </c>
      <c r="F54" s="392"/>
      <c r="G54" s="750" t="s">
        <v>2253</v>
      </c>
    </row>
    <row r="55" spans="1:7" s="42" customFormat="1" ht="12" customHeight="1">
      <c r="A55" s="387"/>
      <c r="B55" s="753"/>
      <c r="C55" s="392"/>
      <c r="D55" s="392"/>
      <c r="E55" s="752" t="s">
        <v>2655</v>
      </c>
      <c r="F55" s="392"/>
      <c r="G55" s="750" t="s">
        <v>2253</v>
      </c>
    </row>
    <row r="56" spans="1:7" s="42" customFormat="1" ht="12" customHeight="1">
      <c r="A56" s="387"/>
      <c r="B56" s="753"/>
      <c r="C56" s="392"/>
      <c r="D56" s="392"/>
      <c r="E56" s="752" t="s">
        <v>3504</v>
      </c>
      <c r="F56" s="392"/>
      <c r="G56" s="750" t="s">
        <v>2253</v>
      </c>
    </row>
    <row r="57" spans="1:7" s="42" customFormat="1" ht="12" customHeight="1">
      <c r="A57" s="387"/>
      <c r="B57" s="753"/>
      <c r="C57" s="392"/>
      <c r="D57" s="392"/>
      <c r="E57" s="752" t="s">
        <v>2656</v>
      </c>
      <c r="F57" s="392"/>
      <c r="G57" s="750" t="s">
        <v>2253</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2689</v>
      </c>
      <c r="F59" s="398"/>
      <c r="G59" s="750" t="s">
        <v>3963</v>
      </c>
    </row>
    <row r="60" spans="1:7" s="42" customFormat="1" ht="12" customHeight="1">
      <c r="A60" s="387"/>
      <c r="B60" s="406"/>
      <c r="C60" s="392"/>
      <c r="D60" s="392"/>
      <c r="E60" s="398" t="s">
        <v>1841</v>
      </c>
      <c r="F60" s="398"/>
      <c r="G60" s="750" t="s">
        <v>2253</v>
      </c>
    </row>
    <row r="61" spans="1:7" s="42" customFormat="1" ht="12" customHeight="1">
      <c r="A61" s="387"/>
      <c r="B61" s="406"/>
      <c r="C61" s="392"/>
      <c r="D61" s="392"/>
      <c r="E61" s="398" t="s">
        <v>1842</v>
      </c>
      <c r="F61" s="398"/>
      <c r="G61" s="750" t="s">
        <v>2253</v>
      </c>
    </row>
    <row r="62" spans="1:7" s="42" customFormat="1" ht="12" customHeight="1">
      <c r="A62" s="387"/>
      <c r="B62" s="406"/>
      <c r="C62" s="392"/>
      <c r="D62" s="392"/>
      <c r="E62" s="398" t="s">
        <v>1843</v>
      </c>
      <c r="F62" s="398"/>
      <c r="G62" s="750" t="s">
        <v>2253</v>
      </c>
    </row>
    <row r="63" spans="1:7" s="42" customFormat="1" ht="12" customHeight="1">
      <c r="A63" s="387"/>
      <c r="B63" s="406"/>
      <c r="C63" s="392"/>
      <c r="D63" s="392"/>
      <c r="E63" s="398" t="s">
        <v>2736</v>
      </c>
      <c r="F63" s="398"/>
      <c r="G63" s="750" t="s">
        <v>2253</v>
      </c>
    </row>
    <row r="64" spans="1:7" s="42" customFormat="1" ht="12" customHeight="1">
      <c r="A64" s="104"/>
      <c r="B64" s="392"/>
      <c r="C64" s="392"/>
      <c r="D64" s="392"/>
      <c r="E64" s="752" t="s">
        <v>1844</v>
      </c>
      <c r="F64" s="398"/>
      <c r="G64" s="750" t="s">
        <v>2253</v>
      </c>
    </row>
    <row r="65" spans="1:7" s="42" customFormat="1" ht="12" customHeight="1">
      <c r="A65" s="104"/>
      <c r="B65" s="392"/>
      <c r="C65" s="392"/>
      <c r="D65" s="392"/>
      <c r="E65" s="752" t="s">
        <v>1845</v>
      </c>
      <c r="F65" s="392"/>
      <c r="G65" s="750" t="s">
        <v>2253</v>
      </c>
    </row>
    <row r="66" spans="1:7" s="42" customFormat="1" ht="12" customHeight="1">
      <c r="A66" s="104"/>
      <c r="B66" s="392"/>
      <c r="C66" s="418"/>
      <c r="D66" s="392"/>
      <c r="E66" s="936" t="s">
        <v>1846</v>
      </c>
      <c r="F66" s="937"/>
      <c r="G66" s="750" t="s">
        <v>2253</v>
      </c>
    </row>
    <row r="67" spans="1:7" s="42" customFormat="1" ht="12" customHeight="1">
      <c r="A67" s="104"/>
      <c r="B67" s="392"/>
      <c r="C67" s="418"/>
      <c r="D67" s="392"/>
      <c r="E67" s="441" t="s">
        <v>1847</v>
      </c>
      <c r="F67" s="399"/>
      <c r="G67" s="750" t="s">
        <v>2253</v>
      </c>
    </row>
    <row r="68" spans="1:7" s="42" customFormat="1" ht="12" customHeight="1">
      <c r="A68" s="104"/>
      <c r="B68" s="392"/>
      <c r="C68" s="392"/>
      <c r="D68" s="392"/>
      <c r="E68" s="752" t="s">
        <v>1901</v>
      </c>
      <c r="F68" s="398"/>
      <c r="G68" s="750" t="s">
        <v>2253</v>
      </c>
    </row>
    <row r="69" spans="1:7" s="42" customFormat="1" ht="12" customHeight="1">
      <c r="A69" s="104"/>
      <c r="B69" s="392"/>
      <c r="C69" s="392"/>
      <c r="D69" s="392"/>
      <c r="E69" s="752" t="s">
        <v>1848</v>
      </c>
      <c r="F69" s="398"/>
      <c r="G69" s="750" t="s">
        <v>2253</v>
      </c>
    </row>
    <row r="70" spans="1:7" s="42" customFormat="1" ht="12" customHeight="1">
      <c r="A70" s="104"/>
      <c r="B70" s="392"/>
      <c r="C70" s="392"/>
      <c r="D70" s="392"/>
      <c r="E70" s="398" t="s">
        <v>1849</v>
      </c>
      <c r="F70" s="398"/>
      <c r="G70" s="750" t="s">
        <v>2253</v>
      </c>
    </row>
    <row r="71" spans="1:7" s="42" customFormat="1" ht="12" customHeight="1">
      <c r="A71" s="104"/>
      <c r="B71" s="392"/>
      <c r="C71" s="392"/>
      <c r="D71" s="392"/>
      <c r="E71" s="398" t="s">
        <v>320</v>
      </c>
      <c r="F71" s="398"/>
      <c r="G71" s="750" t="s">
        <v>2253</v>
      </c>
    </row>
    <row r="72" spans="1:7" s="42" customFormat="1" ht="12" customHeight="1">
      <c r="A72" s="104"/>
      <c r="B72" s="392"/>
      <c r="C72" s="392"/>
      <c r="D72" s="392"/>
      <c r="E72" s="398" t="s">
        <v>640</v>
      </c>
      <c r="F72" s="398"/>
      <c r="G72" s="750" t="s">
        <v>3963</v>
      </c>
    </row>
    <row r="73" spans="1:7" s="42" customFormat="1" ht="12" customHeight="1">
      <c r="A73" s="104"/>
      <c r="B73" s="392"/>
      <c r="C73" s="413"/>
      <c r="D73" s="413"/>
      <c r="E73" s="396" t="s">
        <v>1903</v>
      </c>
      <c r="F73" s="400"/>
      <c r="G73" s="750" t="s">
        <v>2253</v>
      </c>
    </row>
    <row r="74" spans="1:7" s="42" customFormat="1" ht="12" customHeight="1">
      <c r="A74" s="104"/>
      <c r="B74" s="392"/>
      <c r="C74" s="392"/>
      <c r="D74" s="392"/>
      <c r="E74" s="398" t="s">
        <v>3513</v>
      </c>
      <c r="F74" s="398"/>
      <c r="G74" s="750" t="s">
        <v>2253</v>
      </c>
    </row>
    <row r="75" spans="1:7" s="42" customFormat="1" ht="6" customHeight="1">
      <c r="A75" s="104"/>
      <c r="B75" s="392"/>
      <c r="C75" s="392"/>
      <c r="D75" s="392"/>
      <c r="E75" s="752"/>
      <c r="F75" s="398"/>
      <c r="G75" s="147"/>
    </row>
    <row r="76" spans="1:7" s="42" customFormat="1" ht="12" customHeight="1">
      <c r="A76" s="387">
        <v>6</v>
      </c>
      <c r="B76" s="412" t="s">
        <v>1023</v>
      </c>
      <c r="C76" s="241"/>
      <c r="D76" s="392"/>
      <c r="E76" s="392" t="s">
        <v>3505</v>
      </c>
      <c r="F76" s="392"/>
      <c r="G76" s="750" t="s">
        <v>2253</v>
      </c>
    </row>
    <row r="77" spans="1:7" s="42" customFormat="1" ht="12" customHeight="1">
      <c r="A77" s="104"/>
      <c r="B77" s="392"/>
      <c r="C77" s="413"/>
      <c r="D77" s="413"/>
      <c r="E77" s="396" t="s">
        <v>3860</v>
      </c>
      <c r="F77" s="400"/>
      <c r="G77" s="750" t="s">
        <v>2253</v>
      </c>
    </row>
    <row r="78" spans="1:7" s="42" customFormat="1" ht="12" customHeight="1">
      <c r="A78" s="104"/>
      <c r="B78" s="392"/>
      <c r="C78" s="413"/>
      <c r="D78" s="413"/>
      <c r="E78" s="396" t="s">
        <v>3861</v>
      </c>
      <c r="F78" s="400"/>
      <c r="G78" s="750" t="s">
        <v>2253</v>
      </c>
    </row>
    <row r="79" spans="1:7" s="42" customFormat="1" ht="12" customHeight="1">
      <c r="A79" s="104"/>
      <c r="B79" s="392"/>
      <c r="C79" s="392"/>
      <c r="D79" s="392"/>
      <c r="E79" s="392" t="s">
        <v>3862</v>
      </c>
      <c r="F79" s="392"/>
      <c r="G79" s="750"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750" t="s">
        <v>3963</v>
      </c>
    </row>
    <row r="82" spans="1:7" s="42" customFormat="1" ht="6" customHeight="1">
      <c r="A82" s="104"/>
      <c r="B82" s="241"/>
      <c r="C82" s="709"/>
      <c r="D82" s="392"/>
      <c r="E82" s="398"/>
      <c r="F82" s="398"/>
      <c r="G82" s="147"/>
    </row>
    <row r="83" spans="1:7" s="42" customFormat="1" ht="12" customHeight="1">
      <c r="A83" s="387">
        <v>8</v>
      </c>
      <c r="B83" s="408" t="s">
        <v>3426</v>
      </c>
      <c r="C83" s="241"/>
      <c r="D83" s="392"/>
      <c r="E83" s="398" t="s">
        <v>1902</v>
      </c>
      <c r="F83" s="398"/>
      <c r="G83" s="750" t="s">
        <v>3963</v>
      </c>
    </row>
    <row r="84" spans="1:7" s="42" customFormat="1" ht="12" customHeight="1">
      <c r="A84" s="104"/>
      <c r="B84" s="241"/>
      <c r="C84" s="709"/>
      <c r="D84" s="392"/>
      <c r="E84" s="398" t="s">
        <v>3796</v>
      </c>
      <c r="F84" s="398"/>
      <c r="G84" s="750" t="s">
        <v>2253</v>
      </c>
    </row>
    <row r="85" spans="1:7" s="42" customFormat="1" ht="6" customHeight="1">
      <c r="A85" s="104"/>
      <c r="B85" s="709"/>
      <c r="C85" s="392"/>
      <c r="D85" s="392"/>
      <c r="E85" s="752"/>
      <c r="F85" s="398"/>
      <c r="G85" s="314"/>
    </row>
    <row r="86" spans="1:7" s="42" customFormat="1" ht="12" customHeight="1">
      <c r="A86" s="387">
        <v>9</v>
      </c>
      <c r="B86" s="406" t="s">
        <v>3703</v>
      </c>
      <c r="C86" s="241"/>
      <c r="D86" s="392"/>
      <c r="E86" s="752" t="s">
        <v>3881</v>
      </c>
      <c r="F86" s="398"/>
      <c r="G86" s="750" t="s">
        <v>3963</v>
      </c>
    </row>
    <row r="87" spans="1:7" s="42" customFormat="1" ht="6" customHeight="1">
      <c r="A87" s="100"/>
      <c r="B87" s="394"/>
      <c r="C87" s="241"/>
      <c r="D87" s="394"/>
      <c r="E87" s="394"/>
      <c r="F87" s="395"/>
      <c r="G87" s="312"/>
    </row>
    <row r="88" spans="1:7" s="42" customFormat="1" ht="13.95" customHeight="1">
      <c r="A88" s="387">
        <v>10</v>
      </c>
      <c r="B88" s="406" t="s">
        <v>732</v>
      </c>
      <c r="C88" s="241"/>
      <c r="D88" s="392"/>
      <c r="E88" s="392" t="s">
        <v>312</v>
      </c>
      <c r="F88" s="392"/>
      <c r="G88" s="750"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907" t="s">
        <v>3886</v>
      </c>
      <c r="F90" s="923"/>
      <c r="G90" s="750" t="s">
        <v>3963</v>
      </c>
    </row>
    <row r="91" spans="1:7" s="42" customFormat="1" ht="12" customHeight="1">
      <c r="A91" s="107"/>
      <c r="B91" s="392"/>
      <c r="C91" s="391"/>
      <c r="D91" s="752"/>
      <c r="E91" s="392" t="s">
        <v>305</v>
      </c>
      <c r="F91" s="392"/>
      <c r="G91" s="750" t="s">
        <v>2253</v>
      </c>
    </row>
    <row r="92" spans="1:7" s="42" customFormat="1" ht="12" customHeight="1">
      <c r="A92" s="387">
        <v>12</v>
      </c>
      <c r="B92" s="406" t="s">
        <v>1600</v>
      </c>
      <c r="C92" s="241"/>
      <c r="D92" s="392"/>
      <c r="E92" s="396" t="s">
        <v>3464</v>
      </c>
      <c r="F92" s="398"/>
      <c r="G92" s="750" t="s">
        <v>3963</v>
      </c>
    </row>
    <row r="93" spans="1:7" s="42" customFormat="1" ht="12" customHeight="1">
      <c r="A93" s="104"/>
      <c r="B93" s="396"/>
      <c r="C93" s="241"/>
      <c r="D93" s="396"/>
      <c r="E93" s="396" t="s">
        <v>724</v>
      </c>
      <c r="F93" s="402"/>
      <c r="G93" s="750" t="s">
        <v>3963</v>
      </c>
    </row>
    <row r="94" spans="1:7" s="42" customFormat="1" ht="12" customHeight="1">
      <c r="A94" s="104"/>
      <c r="B94" s="392"/>
      <c r="C94" s="241"/>
      <c r="D94" s="392"/>
      <c r="E94" s="396" t="s">
        <v>3882</v>
      </c>
      <c r="F94" s="398"/>
      <c r="G94" s="750"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750" t="s">
        <v>3963</v>
      </c>
    </row>
    <row r="97" spans="1:7" s="42" customFormat="1" ht="12" customHeight="1">
      <c r="A97" s="104"/>
      <c r="B97" s="241"/>
      <c r="C97" s="241"/>
      <c r="D97" s="392"/>
      <c r="E97" s="392" t="s">
        <v>3331</v>
      </c>
      <c r="F97" s="392"/>
      <c r="G97" s="750" t="s">
        <v>2253</v>
      </c>
    </row>
    <row r="98" spans="1:7" s="42" customFormat="1" ht="12" customHeight="1">
      <c r="A98" s="104"/>
      <c r="B98" s="392"/>
      <c r="C98" s="241"/>
      <c r="D98" s="392"/>
      <c r="E98" s="392" t="s">
        <v>3271</v>
      </c>
      <c r="F98" s="392"/>
      <c r="G98" s="750" t="s">
        <v>2253</v>
      </c>
    </row>
    <row r="99" spans="1:7" s="42" customFormat="1" ht="12" customHeight="1">
      <c r="A99" s="104"/>
      <c r="B99" s="391"/>
      <c r="C99" s="241"/>
      <c r="D99" s="392"/>
      <c r="E99" s="396" t="s">
        <v>3272</v>
      </c>
      <c r="F99" s="402"/>
      <c r="G99" s="750" t="s">
        <v>2253</v>
      </c>
    </row>
    <row r="100" spans="1:7" s="42" customFormat="1" ht="6" customHeight="1">
      <c r="A100" s="100"/>
      <c r="B100" s="394"/>
      <c r="C100" s="241"/>
      <c r="D100" s="394"/>
      <c r="E100" s="394"/>
      <c r="F100" s="395"/>
      <c r="G100" s="312"/>
    </row>
    <row r="101" spans="1:7" s="42" customFormat="1" ht="25.2" customHeight="1">
      <c r="A101" s="387">
        <v>14</v>
      </c>
      <c r="B101" s="414" t="s">
        <v>332</v>
      </c>
      <c r="C101" s="241"/>
      <c r="D101" s="396"/>
      <c r="E101" s="917" t="s">
        <v>71</v>
      </c>
      <c r="F101" s="917"/>
      <c r="G101" s="750" t="s">
        <v>3963</v>
      </c>
    </row>
    <row r="102" spans="1:7" s="42" customFormat="1" ht="12" customHeight="1">
      <c r="A102" s="104"/>
      <c r="B102" s="391"/>
      <c r="C102" s="241"/>
      <c r="D102" s="396"/>
      <c r="E102" s="917" t="s">
        <v>908</v>
      </c>
      <c r="F102" s="908"/>
      <c r="G102" s="750" t="s">
        <v>3963</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3506</v>
      </c>
      <c r="F104" s="402"/>
      <c r="G104" s="750" t="s">
        <v>2253</v>
      </c>
    </row>
    <row r="105" spans="1:7" s="42" customFormat="1" ht="12" customHeight="1">
      <c r="A105" s="104"/>
      <c r="B105" s="396"/>
      <c r="C105" s="241"/>
      <c r="D105" s="396"/>
      <c r="E105" s="397" t="s">
        <v>3767</v>
      </c>
      <c r="F105" s="392"/>
      <c r="G105" s="750" t="s">
        <v>2253</v>
      </c>
    </row>
    <row r="106" spans="1:7" s="42" customFormat="1" ht="12" customHeight="1">
      <c r="A106" s="104"/>
      <c r="B106" s="392"/>
      <c r="C106" s="241"/>
      <c r="D106" s="752"/>
      <c r="E106" s="392" t="s">
        <v>3507</v>
      </c>
      <c r="F106" s="392"/>
      <c r="G106" s="750" t="s">
        <v>3963</v>
      </c>
    </row>
    <row r="107" spans="1:7" s="42" customFormat="1" ht="12" customHeight="1">
      <c r="A107" s="104"/>
      <c r="B107" s="391"/>
      <c r="C107" s="241"/>
      <c r="D107" s="392"/>
      <c r="E107" s="392" t="s">
        <v>1651</v>
      </c>
      <c r="F107" s="392"/>
      <c r="G107" s="750" t="s">
        <v>3963</v>
      </c>
    </row>
    <row r="108" spans="1:7" s="42" customFormat="1" ht="12" customHeight="1">
      <c r="A108" s="104"/>
      <c r="B108" s="392"/>
      <c r="C108" s="241"/>
      <c r="D108" s="392"/>
      <c r="E108" s="396" t="s">
        <v>1652</v>
      </c>
      <c r="F108" s="402"/>
      <c r="G108" s="750" t="s">
        <v>3963</v>
      </c>
    </row>
    <row r="109" spans="1:7" s="42" customFormat="1" ht="12" customHeight="1">
      <c r="A109" s="104"/>
      <c r="B109" s="396"/>
      <c r="C109" s="241"/>
      <c r="D109" s="396"/>
      <c r="E109" s="396" t="s">
        <v>731</v>
      </c>
      <c r="F109" s="402"/>
      <c r="G109" s="750" t="s">
        <v>2253</v>
      </c>
    </row>
    <row r="110" spans="1:7" s="42" customFormat="1" ht="12" customHeight="1">
      <c r="A110" s="104"/>
      <c r="B110" s="396"/>
      <c r="C110" s="241"/>
      <c r="D110" s="396"/>
      <c r="E110" s="396" t="s">
        <v>3465</v>
      </c>
      <c r="F110" s="402"/>
      <c r="G110" s="750" t="s">
        <v>2253</v>
      </c>
    </row>
    <row r="111" spans="1:7" s="42" customFormat="1" ht="6" customHeight="1">
      <c r="A111" s="100"/>
      <c r="B111" s="394"/>
      <c r="C111" s="394"/>
      <c r="D111" s="394"/>
      <c r="E111" s="394"/>
      <c r="F111" s="395"/>
      <c r="G111" s="312"/>
    </row>
    <row r="112" spans="1:7" ht="12" customHeight="1">
      <c r="A112" s="387">
        <v>16</v>
      </c>
      <c r="B112" s="938" t="s">
        <v>192</v>
      </c>
      <c r="C112" s="939"/>
      <c r="D112" s="939"/>
      <c r="E112" s="396" t="s">
        <v>1909</v>
      </c>
      <c r="F112" s="396"/>
      <c r="G112" s="750" t="s">
        <v>3963</v>
      </c>
    </row>
    <row r="113" spans="1:7" s="42" customFormat="1" ht="12" customHeight="1">
      <c r="A113" s="104"/>
      <c r="B113" s="938"/>
      <c r="C113" s="939"/>
      <c r="D113" s="939"/>
      <c r="E113" s="396" t="s">
        <v>1910</v>
      </c>
      <c r="F113" s="396"/>
      <c r="G113" s="750" t="s">
        <v>3965</v>
      </c>
    </row>
    <row r="114" spans="1:7" s="42" customFormat="1" ht="12" customHeight="1">
      <c r="A114" s="104"/>
      <c r="B114" s="938"/>
      <c r="C114" s="939"/>
      <c r="D114" s="939"/>
      <c r="E114" s="396" t="s">
        <v>1913</v>
      </c>
      <c r="F114" s="396"/>
      <c r="G114" s="750" t="s">
        <v>3963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3547</v>
      </c>
      <c r="F116" s="398"/>
      <c r="G116" s="750" t="s">
        <v>2253</v>
      </c>
    </row>
    <row r="117" spans="1:7" s="42" customFormat="1" ht="12" customHeight="1">
      <c r="A117" s="104"/>
      <c r="B117" s="602" t="s">
        <v>3081</v>
      </c>
      <c r="C117" s="241"/>
      <c r="D117" s="754"/>
      <c r="E117" s="403" t="s">
        <v>3548</v>
      </c>
      <c r="F117" s="398"/>
      <c r="G117" s="750" t="s">
        <v>2253</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750" t="s">
        <v>3963</v>
      </c>
    </row>
    <row r="120" spans="1:7" s="42" customFormat="1" ht="12" customHeight="1">
      <c r="A120" s="387"/>
      <c r="B120" s="602" t="s">
        <v>3396</v>
      </c>
      <c r="C120" s="406"/>
      <c r="D120" s="392"/>
      <c r="E120" s="393" t="s">
        <v>2527</v>
      </c>
      <c r="F120" s="392"/>
      <c r="G120" s="750" t="s">
        <v>3963</v>
      </c>
    </row>
    <row r="121" spans="1:7" s="42" customFormat="1" ht="12" customHeight="1">
      <c r="A121" s="104"/>
      <c r="B121" s="241"/>
      <c r="C121" s="392"/>
      <c r="D121" s="392"/>
      <c r="E121" s="392" t="s">
        <v>3305</v>
      </c>
      <c r="F121" s="392"/>
      <c r="G121" s="750" t="s">
        <v>3963</v>
      </c>
    </row>
    <row r="122" spans="1:7" s="42" customFormat="1" ht="12" customHeight="1">
      <c r="A122" s="104"/>
      <c r="B122" s="392"/>
      <c r="C122" s="392"/>
      <c r="D122" s="392"/>
      <c r="E122" s="392" t="s">
        <v>3883</v>
      </c>
      <c r="F122" s="392"/>
      <c r="G122" s="750" t="s">
        <v>3963</v>
      </c>
    </row>
    <row r="123" spans="1:7" s="42" customFormat="1" ht="6" customHeight="1">
      <c r="A123" s="100"/>
      <c r="B123" s="394"/>
      <c r="C123" s="394"/>
      <c r="D123" s="394"/>
      <c r="E123" s="394"/>
      <c r="F123" s="395"/>
      <c r="G123" s="311"/>
    </row>
    <row r="124" spans="1:7" s="42" customFormat="1" ht="12.6" customHeight="1">
      <c r="A124" s="387">
        <v>19</v>
      </c>
      <c r="B124" s="414" t="s">
        <v>2866</v>
      </c>
      <c r="C124" s="752"/>
      <c r="D124" s="752"/>
      <c r="E124" s="396" t="s">
        <v>3520</v>
      </c>
      <c r="F124" s="396"/>
      <c r="G124" s="750" t="s">
        <v>3963</v>
      </c>
    </row>
    <row r="125" spans="1:7" s="42" customFormat="1" ht="12" customHeight="1">
      <c r="A125" s="104"/>
      <c r="B125" s="396"/>
      <c r="C125" s="391"/>
      <c r="D125" s="396"/>
      <c r="E125" s="396" t="s">
        <v>890</v>
      </c>
      <c r="F125" s="396"/>
      <c r="G125" s="750" t="s">
        <v>3963</v>
      </c>
    </row>
    <row r="126" spans="1:7" s="42" customFormat="1" ht="12" customHeight="1">
      <c r="A126" s="104"/>
      <c r="B126" s="396"/>
      <c r="C126" s="391"/>
      <c r="D126" s="396"/>
      <c r="E126" s="396" t="s">
        <v>3521</v>
      </c>
      <c r="F126" s="396"/>
      <c r="G126" s="750" t="s">
        <v>2253</v>
      </c>
    </row>
    <row r="127" spans="1:7" s="42" customFormat="1" ht="12" customHeight="1">
      <c r="A127" s="104"/>
      <c r="B127" s="396"/>
      <c r="C127" s="415"/>
      <c r="D127" s="396"/>
      <c r="E127" s="396" t="s">
        <v>3522</v>
      </c>
      <c r="F127" s="396"/>
      <c r="G127" s="750" t="s">
        <v>2253</v>
      </c>
    </row>
    <row r="128" spans="1:7" s="42" customFormat="1" ht="12" customHeight="1">
      <c r="A128" s="104"/>
      <c r="B128" s="396"/>
      <c r="C128" s="396"/>
      <c r="D128" s="416"/>
      <c r="E128" s="396" t="s">
        <v>3523</v>
      </c>
      <c r="F128" s="396"/>
      <c r="G128" s="750" t="s">
        <v>2253</v>
      </c>
    </row>
    <row r="129" spans="1:7" s="42" customFormat="1" ht="12" customHeight="1">
      <c r="A129" s="104"/>
      <c r="B129" s="396"/>
      <c r="C129" s="396"/>
      <c r="D129" s="416"/>
      <c r="E129" s="396" t="s">
        <v>3524</v>
      </c>
      <c r="F129" s="396"/>
      <c r="G129" s="750" t="s">
        <v>2253</v>
      </c>
    </row>
    <row r="130" spans="1:7" s="755" customFormat="1" ht="12" customHeight="1">
      <c r="A130" s="104"/>
      <c r="B130" s="396"/>
      <c r="C130" s="396"/>
      <c r="D130" s="416"/>
      <c r="E130" s="396" t="s">
        <v>3544</v>
      </c>
      <c r="F130" s="396"/>
      <c r="G130" s="750" t="s">
        <v>2253</v>
      </c>
    </row>
    <row r="131" spans="1:7" s="42" customFormat="1" ht="24.6" customHeight="1">
      <c r="A131" s="107"/>
      <c r="B131" s="396"/>
      <c r="C131" s="396"/>
      <c r="D131" s="396"/>
      <c r="E131" s="917" t="s">
        <v>3545</v>
      </c>
      <c r="F131" s="908"/>
      <c r="G131" s="750" t="s">
        <v>3963</v>
      </c>
    </row>
    <row r="132" spans="1:7" s="42" customFormat="1" ht="12.6" customHeight="1">
      <c r="A132" s="387">
        <v>20</v>
      </c>
      <c r="B132" s="414" t="s">
        <v>823</v>
      </c>
      <c r="C132" s="752"/>
      <c r="D132" s="752"/>
      <c r="E132" s="396" t="s">
        <v>467</v>
      </c>
      <c r="F132" s="396"/>
      <c r="G132" s="750" t="s">
        <v>2253</v>
      </c>
    </row>
    <row r="133" spans="1:7" s="42" customFormat="1" ht="12" customHeight="1">
      <c r="A133" s="104"/>
      <c r="B133" s="396"/>
      <c r="C133" s="391"/>
      <c r="D133" s="396"/>
      <c r="E133" s="396" t="s">
        <v>3664</v>
      </c>
      <c r="F133" s="396"/>
      <c r="G133" s="750" t="s">
        <v>2253</v>
      </c>
    </row>
    <row r="134" spans="1:7" s="42" customFormat="1" ht="12" customHeight="1">
      <c r="A134" s="104"/>
      <c r="B134" s="396"/>
      <c r="C134" s="415"/>
      <c r="D134" s="396"/>
      <c r="E134" s="396" t="s">
        <v>722</v>
      </c>
      <c r="F134" s="396"/>
      <c r="G134" s="750" t="s">
        <v>2253</v>
      </c>
    </row>
    <row r="135" spans="1:7" s="42" customFormat="1" ht="12" customHeight="1">
      <c r="A135" s="104"/>
      <c r="B135" s="396"/>
      <c r="C135" s="396"/>
      <c r="D135" s="416"/>
      <c r="E135" s="396" t="s">
        <v>723</v>
      </c>
      <c r="F135" s="396"/>
      <c r="G135" s="750" t="s">
        <v>2253</v>
      </c>
    </row>
    <row r="136" spans="1:7" s="42" customFormat="1" ht="12" customHeight="1">
      <c r="A136" s="104"/>
      <c r="B136" s="396"/>
      <c r="C136" s="396"/>
      <c r="D136" s="416"/>
      <c r="E136" s="396" t="s">
        <v>989</v>
      </c>
      <c r="F136" s="396"/>
      <c r="G136" s="750" t="s">
        <v>2253</v>
      </c>
    </row>
    <row r="137" spans="1:7" s="755" customFormat="1" ht="12" customHeight="1">
      <c r="A137" s="104"/>
      <c r="B137" s="396"/>
      <c r="C137" s="396"/>
      <c r="D137" s="416"/>
      <c r="E137" s="396" t="s">
        <v>2292</v>
      </c>
      <c r="F137" s="396"/>
      <c r="G137" s="750" t="s">
        <v>2253</v>
      </c>
    </row>
    <row r="138" spans="1:7" s="42" customFormat="1" ht="12" customHeight="1">
      <c r="A138" s="104"/>
      <c r="B138" s="396"/>
      <c r="C138" s="396"/>
      <c r="D138" s="396"/>
      <c r="E138" s="709" t="s">
        <v>3574</v>
      </c>
      <c r="F138" s="402"/>
      <c r="G138" s="750" t="s">
        <v>2253</v>
      </c>
    </row>
    <row r="139" spans="1:7" s="42" customFormat="1" ht="6" customHeight="1">
      <c r="A139" s="100"/>
      <c r="B139" s="394"/>
      <c r="C139" s="394"/>
      <c r="D139" s="394"/>
      <c r="E139" s="394"/>
      <c r="F139" s="395"/>
      <c r="G139" s="312"/>
    </row>
    <row r="140" spans="1:7" ht="11.4" customHeight="1">
      <c r="A140" s="387">
        <v>21</v>
      </c>
      <c r="B140" s="414" t="s">
        <v>2529</v>
      </c>
      <c r="C140" s="752"/>
      <c r="D140" s="752"/>
      <c r="E140" s="396" t="s">
        <v>3202</v>
      </c>
      <c r="F140" s="396"/>
      <c r="G140" s="750" t="s">
        <v>2253</v>
      </c>
    </row>
    <row r="141" spans="1:7" s="42" customFormat="1" ht="11.4" customHeight="1">
      <c r="A141" s="104"/>
      <c r="B141" s="241"/>
      <c r="C141" s="241"/>
      <c r="D141" s="396"/>
      <c r="E141" s="396" t="s">
        <v>2837</v>
      </c>
      <c r="F141" s="396"/>
      <c r="G141" s="750" t="s">
        <v>2253</v>
      </c>
    </row>
    <row r="142" spans="1:7" s="42" customFormat="1" ht="11.4" customHeight="1">
      <c r="A142" s="104"/>
      <c r="B142" s="396"/>
      <c r="C142" s="396"/>
      <c r="D142" s="396"/>
      <c r="E142" s="396" t="s">
        <v>3078</v>
      </c>
      <c r="F142" s="396"/>
      <c r="G142" s="750" t="s">
        <v>2253</v>
      </c>
    </row>
    <row r="143" spans="1:7" s="42" customFormat="1" ht="11.4" customHeight="1">
      <c r="A143" s="104"/>
      <c r="B143" s="396"/>
      <c r="C143" s="396"/>
      <c r="D143" s="396"/>
      <c r="E143" s="396" t="s">
        <v>1914</v>
      </c>
      <c r="F143" s="396"/>
      <c r="G143" s="750" t="s">
        <v>2253</v>
      </c>
    </row>
    <row r="144" spans="1:7" s="42" customFormat="1" ht="11.4" customHeight="1">
      <c r="A144" s="104"/>
      <c r="B144" s="396"/>
      <c r="C144" s="396"/>
      <c r="D144" s="396"/>
      <c r="E144" s="396" t="s">
        <v>1912</v>
      </c>
      <c r="F144" s="396"/>
      <c r="G144" s="750" t="s">
        <v>2253</v>
      </c>
    </row>
    <row r="145" spans="1:7" s="42" customFormat="1" ht="5.4" customHeight="1">
      <c r="A145" s="100"/>
      <c r="B145" s="394"/>
      <c r="C145" s="394"/>
      <c r="D145" s="394"/>
      <c r="E145" s="394"/>
      <c r="F145" s="395"/>
      <c r="G145" s="312"/>
    </row>
    <row r="146" spans="1:7" s="42" customFormat="1" ht="12" customHeight="1">
      <c r="A146" s="387">
        <v>22</v>
      </c>
      <c r="B146" s="414" t="s">
        <v>519</v>
      </c>
      <c r="C146" s="752"/>
      <c r="D146" s="752"/>
      <c r="E146" s="396" t="s">
        <v>2196</v>
      </c>
      <c r="F146" s="392"/>
      <c r="G146" s="750" t="s">
        <v>2253</v>
      </c>
    </row>
    <row r="147" spans="1:7" s="42" customFormat="1" ht="12" customHeight="1">
      <c r="A147" s="104"/>
      <c r="B147" s="241"/>
      <c r="C147" s="241"/>
      <c r="D147" s="241"/>
      <c r="E147" s="396" t="s">
        <v>3310</v>
      </c>
      <c r="F147" s="392"/>
      <c r="G147" s="750" t="s">
        <v>2253</v>
      </c>
    </row>
    <row r="148" spans="1:7" s="42" customFormat="1" ht="12" customHeight="1">
      <c r="A148" s="104"/>
      <c r="B148" s="241"/>
      <c r="C148" s="241"/>
      <c r="D148" s="241"/>
      <c r="E148" s="396" t="s">
        <v>3343</v>
      </c>
      <c r="F148" s="392"/>
      <c r="G148" s="750" t="s">
        <v>2253</v>
      </c>
    </row>
    <row r="149" spans="1:7" s="42" customFormat="1" ht="12" customHeight="1">
      <c r="A149" s="104"/>
      <c r="B149" s="241"/>
      <c r="C149" s="396"/>
      <c r="D149" s="396"/>
      <c r="E149" s="396" t="s">
        <v>2197</v>
      </c>
      <c r="F149" s="392"/>
      <c r="G149" s="750" t="s">
        <v>2253</v>
      </c>
    </row>
    <row r="150" spans="1:7" s="42" customFormat="1" ht="12" customHeight="1">
      <c r="A150" s="104"/>
      <c r="B150" s="396"/>
      <c r="C150" s="396"/>
      <c r="D150" s="396"/>
      <c r="E150" s="396" t="s">
        <v>2198</v>
      </c>
      <c r="F150" s="392"/>
      <c r="G150" s="750" t="s">
        <v>2253</v>
      </c>
    </row>
    <row r="151" spans="1:7" s="42" customFormat="1" ht="12" customHeight="1">
      <c r="A151" s="104"/>
      <c r="B151" s="396"/>
      <c r="C151" s="396"/>
      <c r="D151" s="396"/>
      <c r="E151" s="396" t="s">
        <v>3338</v>
      </c>
      <c r="F151" s="392"/>
      <c r="G151" s="750" t="s">
        <v>2253</v>
      </c>
    </row>
    <row r="152" spans="1:7" s="42" customFormat="1" ht="12" customHeight="1">
      <c r="A152" s="104"/>
      <c r="B152" s="396"/>
      <c r="C152" s="396"/>
      <c r="D152" s="396"/>
      <c r="E152" s="396" t="s">
        <v>3339</v>
      </c>
      <c r="F152" s="392"/>
      <c r="G152" s="750" t="s">
        <v>2253</v>
      </c>
    </row>
    <row r="153" spans="1:7" s="42" customFormat="1" ht="12" customHeight="1">
      <c r="A153" s="104"/>
      <c r="B153" s="396"/>
      <c r="C153" s="396"/>
      <c r="D153" s="396"/>
      <c r="E153" s="396" t="s">
        <v>2195</v>
      </c>
      <c r="F153" s="392"/>
      <c r="G153" s="750" t="s">
        <v>2253</v>
      </c>
    </row>
    <row r="154" spans="1:7" s="42" customFormat="1" ht="12" customHeight="1">
      <c r="A154" s="104"/>
      <c r="B154" s="709"/>
      <c r="C154" s="415"/>
      <c r="D154" s="396"/>
      <c r="E154" s="397" t="s">
        <v>2858</v>
      </c>
      <c r="F154" s="392"/>
      <c r="G154" s="750" t="s">
        <v>2253</v>
      </c>
    </row>
    <row r="155" spans="1:7" s="42" customFormat="1" ht="5.4" customHeight="1">
      <c r="A155" s="100"/>
      <c r="B155" s="394"/>
      <c r="C155" s="394"/>
      <c r="D155" s="394"/>
      <c r="E155" s="394"/>
      <c r="F155" s="395"/>
      <c r="G155" s="312"/>
    </row>
    <row r="156" spans="1:7" s="42" customFormat="1" ht="12" customHeight="1">
      <c r="A156" s="387">
        <v>23</v>
      </c>
      <c r="B156" s="942" t="s">
        <v>1915</v>
      </c>
      <c r="C156" s="943"/>
      <c r="D156" s="943"/>
      <c r="E156" s="752" t="s">
        <v>1408</v>
      </c>
      <c r="F156" s="392"/>
      <c r="G156" s="750" t="s">
        <v>2253</v>
      </c>
    </row>
    <row r="157" spans="1:7" s="42" customFormat="1" ht="12" customHeight="1">
      <c r="A157" s="104"/>
      <c r="B157" s="944"/>
      <c r="C157" s="943"/>
      <c r="D157" s="943"/>
      <c r="E157" s="752" t="s">
        <v>1409</v>
      </c>
      <c r="F157" s="392"/>
      <c r="G157" s="750" t="s">
        <v>2253</v>
      </c>
    </row>
    <row r="158" spans="1:7" s="42" customFormat="1" ht="12" customHeight="1">
      <c r="A158" s="104"/>
      <c r="B158" s="944"/>
      <c r="C158" s="943"/>
      <c r="D158" s="943"/>
      <c r="E158" s="752" t="s">
        <v>1410</v>
      </c>
      <c r="F158" s="392"/>
      <c r="G158" s="750" t="s">
        <v>2253</v>
      </c>
    </row>
    <row r="159" spans="1:7" s="42" customFormat="1" ht="24.6" customHeight="1">
      <c r="A159" s="104"/>
      <c r="B159" s="756"/>
      <c r="C159" s="141"/>
      <c r="D159" s="141"/>
      <c r="E159" s="940" t="s">
        <v>3508</v>
      </c>
      <c r="F159" s="941"/>
      <c r="G159" s="750" t="s">
        <v>2253</v>
      </c>
    </row>
    <row r="160" spans="1:7" s="42" customFormat="1" ht="5.4" customHeight="1">
      <c r="A160" s="100"/>
      <c r="B160" s="394"/>
      <c r="C160" s="394"/>
      <c r="D160" s="394"/>
      <c r="E160" s="394"/>
      <c r="F160" s="395"/>
      <c r="G160" s="312"/>
    </row>
    <row r="161" spans="1:7" s="42" customFormat="1" ht="12.6" customHeight="1">
      <c r="A161" s="104"/>
      <c r="B161" s="409" t="s">
        <v>3501</v>
      </c>
      <c r="C161" s="757"/>
      <c r="D161" s="758"/>
      <c r="E161" s="752"/>
      <c r="F161" s="392"/>
      <c r="G161" s="106"/>
    </row>
    <row r="162" spans="1:7" s="42" customFormat="1" ht="12" customHeight="1">
      <c r="A162" s="387">
        <v>24</v>
      </c>
      <c r="B162" s="753" t="s">
        <v>1025</v>
      </c>
      <c r="C162" s="241"/>
      <c r="D162" s="752"/>
      <c r="E162" s="398" t="s">
        <v>3502</v>
      </c>
      <c r="F162" s="392"/>
      <c r="G162" s="750" t="s">
        <v>3963</v>
      </c>
    </row>
    <row r="163" spans="1:7" s="42" customFormat="1" ht="12" customHeight="1">
      <c r="A163" s="104"/>
      <c r="B163" s="241"/>
      <c r="C163" s="709"/>
      <c r="D163" s="752"/>
      <c r="E163" s="907" t="s">
        <v>866</v>
      </c>
      <c r="F163" s="908"/>
      <c r="G163" s="750" t="s">
        <v>3963</v>
      </c>
    </row>
    <row r="164" spans="1:7" s="42" customFormat="1" ht="12" customHeight="1">
      <c r="A164" s="104"/>
      <c r="B164" s="401"/>
      <c r="C164" s="752"/>
      <c r="D164" s="752"/>
      <c r="E164" s="398" t="s">
        <v>37</v>
      </c>
      <c r="F164" s="392"/>
      <c r="G164" s="750" t="s">
        <v>3963</v>
      </c>
    </row>
    <row r="165" spans="1:7" s="42" customFormat="1" ht="24.6" customHeight="1">
      <c r="A165" s="104"/>
      <c r="B165" s="401"/>
      <c r="C165" s="752"/>
      <c r="D165" s="752"/>
      <c r="E165" s="907" t="s">
        <v>687</v>
      </c>
      <c r="F165" s="908"/>
      <c r="G165" s="750" t="s">
        <v>2253</v>
      </c>
    </row>
    <row r="166" spans="1:7" s="42" customFormat="1" ht="12" customHeight="1">
      <c r="A166" s="104"/>
      <c r="B166" s="401"/>
      <c r="C166" s="752"/>
      <c r="D166" s="752"/>
      <c r="E166" s="907" t="s">
        <v>688</v>
      </c>
      <c r="F166" s="908"/>
      <c r="G166" s="750" t="s">
        <v>2253</v>
      </c>
    </row>
    <row r="167" spans="1:7" s="42" customFormat="1" ht="5.4" customHeight="1">
      <c r="A167" s="104"/>
      <c r="B167" s="401"/>
      <c r="C167" s="752"/>
      <c r="D167" s="752"/>
      <c r="E167" s="710"/>
      <c r="F167" s="710"/>
      <c r="G167" s="759"/>
    </row>
    <row r="168" spans="1:7" s="42" customFormat="1" ht="13.95" customHeight="1">
      <c r="A168" s="387">
        <v>25</v>
      </c>
      <c r="B168" s="760" t="s">
        <v>627</v>
      </c>
      <c r="C168" s="241"/>
      <c r="D168" s="753"/>
      <c r="E168" s="907" t="s">
        <v>2654</v>
      </c>
      <c r="F168" s="908"/>
      <c r="G168" s="750" t="s">
        <v>2253</v>
      </c>
    </row>
    <row r="169" spans="1:7" s="42" customFormat="1" ht="13.95" customHeight="1">
      <c r="A169" s="389"/>
      <c r="B169" s="760"/>
      <c r="C169" s="241"/>
      <c r="D169" s="753"/>
      <c r="E169" s="907" t="s">
        <v>628</v>
      </c>
      <c r="F169" s="908"/>
      <c r="G169" s="750" t="s">
        <v>2253</v>
      </c>
    </row>
    <row r="170" spans="1:7" s="42" customFormat="1" ht="12" customHeight="1">
      <c r="A170" s="387">
        <v>26</v>
      </c>
      <c r="B170" s="753" t="s">
        <v>689</v>
      </c>
      <c r="C170" s="241"/>
      <c r="D170" s="753"/>
      <c r="E170" s="710" t="s">
        <v>690</v>
      </c>
      <c r="F170" s="708"/>
      <c r="G170" s="750" t="s">
        <v>2253</v>
      </c>
    </row>
    <row r="171" spans="1:7" s="42" customFormat="1" ht="12" customHeight="1">
      <c r="A171" s="104"/>
      <c r="B171" s="753"/>
      <c r="C171" s="241"/>
      <c r="E171" s="710" t="s">
        <v>629</v>
      </c>
      <c r="F171" s="708"/>
      <c r="G171" s="750" t="s">
        <v>2253</v>
      </c>
    </row>
    <row r="172" spans="1:7" s="42" customFormat="1" ht="12" customHeight="1">
      <c r="A172" s="104"/>
      <c r="B172" s="408"/>
      <c r="C172" s="241"/>
      <c r="D172" s="753"/>
      <c r="E172" s="907" t="s">
        <v>630</v>
      </c>
      <c r="F172" s="908"/>
      <c r="G172" s="750" t="s">
        <v>2253</v>
      </c>
    </row>
    <row r="173" spans="1:7" s="42" customFormat="1" ht="12" customHeight="1">
      <c r="A173" s="104"/>
      <c r="B173" s="408"/>
      <c r="C173" s="241"/>
      <c r="D173" s="753"/>
      <c r="E173" s="907" t="s">
        <v>631</v>
      </c>
      <c r="F173" s="908"/>
      <c r="G173" s="750" t="s">
        <v>2253</v>
      </c>
    </row>
    <row r="174" spans="1:7" s="42" customFormat="1" ht="6" customHeight="1">
      <c r="A174" s="104"/>
      <c r="B174" s="401"/>
      <c r="C174" s="752"/>
      <c r="D174" s="752"/>
      <c r="E174" s="710"/>
      <c r="F174" s="710"/>
      <c r="G174" s="759"/>
    </row>
    <row r="175" spans="1:7" s="42" customFormat="1" ht="12" customHeight="1">
      <c r="A175" s="387">
        <v>27</v>
      </c>
      <c r="B175" s="761" t="s">
        <v>276</v>
      </c>
      <c r="C175" s="241"/>
      <c r="D175" s="753"/>
      <c r="E175" s="710" t="s">
        <v>691</v>
      </c>
      <c r="F175" s="708"/>
      <c r="G175" s="750" t="s">
        <v>2253</v>
      </c>
    </row>
    <row r="176" spans="1:7" s="42" customFormat="1" ht="12" customHeight="1">
      <c r="A176" s="104"/>
      <c r="B176" s="753"/>
      <c r="C176" s="241"/>
      <c r="D176" s="753"/>
      <c r="E176" s="907" t="s">
        <v>177</v>
      </c>
      <c r="F176" s="908"/>
      <c r="G176" s="750" t="s">
        <v>2253</v>
      </c>
    </row>
    <row r="177" spans="1:7" s="42" customFormat="1" ht="12" customHeight="1">
      <c r="A177" s="104"/>
      <c r="B177" s="753"/>
      <c r="C177" s="241"/>
      <c r="D177" s="753"/>
      <c r="E177" s="398" t="s">
        <v>692</v>
      </c>
      <c r="F177" s="396"/>
      <c r="G177" s="750" t="s">
        <v>2253</v>
      </c>
    </row>
    <row r="178" spans="1:7" s="42" customFormat="1" ht="12" customHeight="1">
      <c r="A178" s="104"/>
      <c r="B178" s="753"/>
      <c r="C178" s="241"/>
      <c r="D178" s="753"/>
      <c r="E178" s="398" t="s">
        <v>693</v>
      </c>
      <c r="F178" s="396"/>
      <c r="G178" s="750" t="s">
        <v>2253</v>
      </c>
    </row>
    <row r="179" spans="1:7" s="42" customFormat="1" ht="12" customHeight="1">
      <c r="A179" s="387"/>
      <c r="B179" s="753"/>
      <c r="C179" s="241"/>
      <c r="D179" s="753"/>
      <c r="E179" s="762" t="s">
        <v>694</v>
      </c>
      <c r="F179" s="396"/>
      <c r="G179" s="750" t="s">
        <v>2253</v>
      </c>
    </row>
    <row r="180" spans="1:7" s="42" customFormat="1" ht="6" customHeight="1">
      <c r="A180" s="104"/>
      <c r="B180" s="753"/>
      <c r="C180" s="241"/>
      <c r="D180" s="753"/>
      <c r="E180" s="398"/>
      <c r="F180" s="398"/>
      <c r="G180" s="147"/>
    </row>
    <row r="181" spans="1:7" s="42" customFormat="1" ht="12" customHeight="1">
      <c r="A181" s="387">
        <v>28</v>
      </c>
      <c r="B181" s="761" t="s">
        <v>3473</v>
      </c>
      <c r="C181" s="753"/>
      <c r="D181" s="753"/>
      <c r="E181" s="907" t="s">
        <v>178</v>
      </c>
      <c r="F181" s="916"/>
      <c r="G181" s="750" t="s">
        <v>2253</v>
      </c>
    </row>
    <row r="182" spans="1:7" s="42" customFormat="1" ht="12" customHeight="1">
      <c r="A182" s="387"/>
      <c r="B182" s="761"/>
      <c r="C182" s="753"/>
      <c r="D182" s="753"/>
      <c r="E182" s="907" t="s">
        <v>179</v>
      </c>
      <c r="F182" s="916"/>
      <c r="G182" s="750" t="s">
        <v>2253</v>
      </c>
    </row>
    <row r="183" spans="1:7" s="42" customFormat="1" ht="25.2" customHeight="1">
      <c r="A183" s="104"/>
      <c r="B183" s="753"/>
      <c r="C183" s="241"/>
      <c r="D183" s="753"/>
      <c r="E183" s="907" t="s">
        <v>1619</v>
      </c>
      <c r="F183" s="908"/>
      <c r="G183" s="750" t="s">
        <v>2253</v>
      </c>
    </row>
    <row r="184" spans="1:7" s="42" customFormat="1" ht="6" customHeight="1">
      <c r="A184" s="104"/>
      <c r="B184" s="753"/>
      <c r="C184" s="241"/>
      <c r="D184" s="753"/>
      <c r="E184" s="398"/>
      <c r="F184" s="396"/>
      <c r="G184" s="106"/>
    </row>
    <row r="185" spans="1:7" s="42" customFormat="1" ht="12" customHeight="1">
      <c r="A185" s="387">
        <v>29</v>
      </c>
      <c r="B185" s="761" t="s">
        <v>405</v>
      </c>
      <c r="C185" s="241"/>
      <c r="D185" s="753"/>
      <c r="E185" s="907" t="s">
        <v>632</v>
      </c>
      <c r="F185" s="908"/>
      <c r="G185" s="750" t="s">
        <v>3963</v>
      </c>
    </row>
    <row r="186" spans="1:7" s="42" customFormat="1" ht="12" customHeight="1">
      <c r="A186" s="387"/>
      <c r="B186" s="761"/>
      <c r="C186" s="241"/>
      <c r="D186" s="753"/>
      <c r="E186" s="393" t="s">
        <v>1636</v>
      </c>
      <c r="F186" s="708"/>
      <c r="G186" s="750" t="s">
        <v>3963</v>
      </c>
    </row>
    <row r="187" spans="1:7" s="42" customFormat="1" ht="6" customHeight="1">
      <c r="A187" s="100"/>
      <c r="B187" s="394"/>
      <c r="C187" s="753"/>
      <c r="D187" s="753"/>
      <c r="E187" s="752"/>
      <c r="F187" s="396"/>
      <c r="G187" s="396"/>
    </row>
    <row r="188" spans="1:7" s="42" customFormat="1" ht="12" customHeight="1">
      <c r="A188" s="387">
        <v>30</v>
      </c>
      <c r="B188" s="753" t="s">
        <v>3885</v>
      </c>
      <c r="C188" s="241"/>
      <c r="D188" s="753"/>
      <c r="E188" s="752" t="s">
        <v>1637</v>
      </c>
      <c r="F188" s="396"/>
      <c r="G188" s="750" t="s">
        <v>3963</v>
      </c>
    </row>
    <row r="189" spans="1:7" s="42" customFormat="1" ht="6" customHeight="1">
      <c r="A189" s="100"/>
      <c r="B189" s="394"/>
      <c r="C189" s="753"/>
      <c r="D189" s="753"/>
      <c r="E189" s="752"/>
      <c r="F189" s="396"/>
      <c r="G189" s="396"/>
    </row>
    <row r="190" spans="1:7" s="42" customFormat="1" ht="12" customHeight="1">
      <c r="A190" s="387">
        <v>31</v>
      </c>
      <c r="B190" s="763" t="s">
        <v>169</v>
      </c>
      <c r="C190" s="241"/>
      <c r="D190" s="395"/>
      <c r="E190" s="394"/>
      <c r="F190" s="395"/>
      <c r="G190" s="395"/>
    </row>
    <row r="191" spans="1:7" s="42" customFormat="1" ht="12" customHeight="1">
      <c r="A191" s="387"/>
      <c r="C191" s="764" t="s">
        <v>655</v>
      </c>
      <c r="D191" s="753"/>
      <c r="E191" s="914" t="s">
        <v>3549</v>
      </c>
      <c r="F191" s="915"/>
      <c r="G191" s="750" t="s">
        <v>2253</v>
      </c>
    </row>
    <row r="192" spans="1:7" s="42" customFormat="1" ht="12" customHeight="1">
      <c r="A192" s="387"/>
      <c r="C192" s="764"/>
      <c r="D192" s="753"/>
      <c r="E192" s="765" t="s">
        <v>1638</v>
      </c>
      <c r="F192" s="766"/>
      <c r="G192" s="750" t="s">
        <v>2253</v>
      </c>
    </row>
    <row r="193" spans="1:7" s="42" customFormat="1" ht="12" customHeight="1">
      <c r="A193" s="104"/>
      <c r="C193" s="241"/>
      <c r="D193" s="753"/>
      <c r="E193" s="912" t="s">
        <v>3550</v>
      </c>
      <c r="F193" s="913"/>
      <c r="G193" s="750" t="s">
        <v>2253</v>
      </c>
    </row>
    <row r="194" spans="1:7" s="42" customFormat="1" ht="12" customHeight="1">
      <c r="A194" s="104"/>
      <c r="C194" s="241"/>
      <c r="D194" s="753"/>
      <c r="E194" s="752" t="s">
        <v>3551</v>
      </c>
      <c r="F194" s="396"/>
      <c r="G194" s="750" t="s">
        <v>2253</v>
      </c>
    </row>
    <row r="195" spans="1:7" s="42" customFormat="1" ht="5.4" customHeight="1">
      <c r="A195" s="100"/>
      <c r="B195" s="394"/>
      <c r="C195" s="395"/>
      <c r="D195" s="395"/>
      <c r="E195" s="394"/>
      <c r="F195" s="395"/>
      <c r="G195" s="312"/>
    </row>
    <row r="196" spans="1:7" s="42" customFormat="1" ht="12" customHeight="1">
      <c r="A196" s="104"/>
      <c r="C196" s="241" t="s">
        <v>539</v>
      </c>
      <c r="D196" s="753"/>
      <c r="E196" s="752" t="s">
        <v>3797</v>
      </c>
      <c r="F196" s="396"/>
      <c r="G196" s="750" t="s">
        <v>2253</v>
      </c>
    </row>
    <row r="197" spans="1:7" s="42" customFormat="1" ht="12" customHeight="1">
      <c r="A197" s="104"/>
      <c r="B197" s="241"/>
      <c r="C197" s="241"/>
      <c r="D197" s="753"/>
      <c r="E197" s="752" t="s">
        <v>3383</v>
      </c>
      <c r="F197" s="396"/>
      <c r="G197" s="750" t="s">
        <v>2253</v>
      </c>
    </row>
    <row r="198" spans="1:7" s="42" customFormat="1" ht="12" customHeight="1">
      <c r="A198" s="104"/>
      <c r="B198" s="752"/>
      <c r="C198" s="408"/>
      <c r="D198" s="753"/>
      <c r="E198" s="752" t="s">
        <v>167</v>
      </c>
      <c r="F198" s="396"/>
      <c r="G198" s="750" t="s">
        <v>2253</v>
      </c>
    </row>
    <row r="199" spans="1:7" s="42" customFormat="1" ht="12" customHeight="1">
      <c r="A199" s="104"/>
      <c r="B199" s="752"/>
      <c r="C199" s="753"/>
      <c r="D199" s="753"/>
      <c r="E199" s="752" t="s">
        <v>3884</v>
      </c>
      <c r="F199" s="396"/>
      <c r="G199" s="750" t="s">
        <v>2253</v>
      </c>
    </row>
    <row r="200" spans="1:7" s="42" customFormat="1" ht="12" customHeight="1">
      <c r="A200" s="104"/>
      <c r="B200" s="709"/>
      <c r="C200" s="753"/>
      <c r="D200" s="753"/>
      <c r="E200" s="752" t="s">
        <v>168</v>
      </c>
      <c r="F200" s="396"/>
      <c r="G200" s="750" t="s">
        <v>2253</v>
      </c>
    </row>
    <row r="201" spans="1:7" s="42" customFormat="1" ht="5.4" customHeight="1">
      <c r="A201" s="100"/>
      <c r="B201" s="394"/>
      <c r="C201" s="395"/>
      <c r="D201" s="395"/>
      <c r="E201" s="394"/>
      <c r="F201" s="395"/>
      <c r="G201" s="312"/>
    </row>
    <row r="202" spans="1:7" s="42" customFormat="1" ht="12" customHeight="1">
      <c r="A202" s="104"/>
      <c r="B202" s="753"/>
      <c r="C202" s="241" t="s">
        <v>540</v>
      </c>
      <c r="D202" s="753"/>
      <c r="E202" s="752" t="s">
        <v>2732</v>
      </c>
      <c r="F202" s="396"/>
      <c r="G202" s="750" t="s">
        <v>2253</v>
      </c>
    </row>
    <row r="203" spans="1:7" s="42" customFormat="1" ht="12" customHeight="1">
      <c r="A203" s="104"/>
      <c r="B203" s="709"/>
      <c r="C203" s="753"/>
      <c r="D203" s="753"/>
      <c r="E203" s="752" t="s">
        <v>2733</v>
      </c>
      <c r="F203" s="396"/>
      <c r="G203" s="750" t="s">
        <v>2253</v>
      </c>
    </row>
    <row r="204" spans="1:7" s="42" customFormat="1" ht="5.4" customHeight="1">
      <c r="A204" s="100"/>
      <c r="B204" s="394"/>
      <c r="C204" s="395"/>
      <c r="D204" s="395"/>
      <c r="E204" s="394"/>
      <c r="F204" s="395"/>
      <c r="G204" s="312"/>
    </row>
    <row r="205" spans="1:7" s="42" customFormat="1" ht="12" customHeight="1">
      <c r="A205" s="104"/>
      <c r="C205" s="241" t="s">
        <v>170</v>
      </c>
      <c r="D205" s="753"/>
      <c r="E205" s="752" t="s">
        <v>171</v>
      </c>
      <c r="F205" s="396"/>
      <c r="G205" s="750" t="s">
        <v>2253</v>
      </c>
    </row>
    <row r="206" spans="1:7" s="42" customFormat="1" ht="12" customHeight="1">
      <c r="A206" s="104"/>
      <c r="B206" s="241"/>
      <c r="C206" s="241"/>
      <c r="D206" s="753"/>
      <c r="E206" s="752" t="s">
        <v>172</v>
      </c>
      <c r="F206" s="396"/>
      <c r="G206" s="750" t="s">
        <v>2253</v>
      </c>
    </row>
    <row r="207" spans="1:7" s="42" customFormat="1" ht="12" customHeight="1">
      <c r="A207" s="104"/>
      <c r="B207" s="752"/>
      <c r="C207" s="408"/>
      <c r="D207" s="753"/>
      <c r="E207" s="752" t="s">
        <v>3509</v>
      </c>
      <c r="F207" s="396"/>
      <c r="G207" s="750" t="s">
        <v>2253</v>
      </c>
    </row>
    <row r="208" spans="1:7" s="42" customFormat="1" ht="12" customHeight="1">
      <c r="A208" s="104"/>
      <c r="B208" s="752"/>
      <c r="C208" s="753"/>
      <c r="D208" s="753"/>
      <c r="E208" s="752" t="s">
        <v>173</v>
      </c>
      <c r="F208" s="396"/>
      <c r="G208" s="750" t="s">
        <v>2253</v>
      </c>
    </row>
    <row r="209" spans="1:7" s="42" customFormat="1" ht="12" customHeight="1">
      <c r="A209" s="387"/>
      <c r="B209" s="709"/>
      <c r="C209" s="753"/>
      <c r="D209" s="753"/>
      <c r="E209" s="752" t="s">
        <v>174</v>
      </c>
      <c r="F209" s="396"/>
      <c r="G209" s="750" t="s">
        <v>2253</v>
      </c>
    </row>
    <row r="210" spans="1:7" s="42" customFormat="1" ht="12" customHeight="1">
      <c r="A210" s="107"/>
      <c r="B210" s="709"/>
      <c r="C210" s="753"/>
      <c r="D210" s="753"/>
      <c r="E210" s="752" t="s">
        <v>175</v>
      </c>
      <c r="F210" s="396"/>
      <c r="G210" s="750" t="s">
        <v>2253</v>
      </c>
    </row>
    <row r="211" spans="1:7" s="42" customFormat="1" ht="12" customHeight="1">
      <c r="A211" s="387">
        <v>32</v>
      </c>
      <c r="B211" s="753" t="s">
        <v>3362</v>
      </c>
      <c r="C211" s="241"/>
      <c r="D211" s="753"/>
      <c r="E211" s="752" t="s">
        <v>176</v>
      </c>
      <c r="F211" s="396"/>
      <c r="G211" s="750" t="s">
        <v>2253</v>
      </c>
    </row>
    <row r="212" spans="1:7" s="42" customFormat="1" ht="6" customHeight="1">
      <c r="A212" s="104"/>
      <c r="B212" s="709"/>
      <c r="C212" s="753"/>
      <c r="D212" s="753"/>
      <c r="E212" s="752"/>
      <c r="F212" s="396"/>
      <c r="G212" s="313"/>
    </row>
    <row r="213" spans="1:7" s="42" customFormat="1" ht="12" customHeight="1">
      <c r="A213" s="387">
        <v>33</v>
      </c>
      <c r="B213" s="753" t="s">
        <v>2841</v>
      </c>
      <c r="C213" s="241"/>
      <c r="D213" s="753"/>
      <c r="E213" s="907" t="s">
        <v>180</v>
      </c>
      <c r="F213" s="908"/>
      <c r="G213" s="750" t="s">
        <v>2253</v>
      </c>
    </row>
    <row r="214" spans="1:7" s="42" customFormat="1" ht="12" customHeight="1">
      <c r="A214" s="387"/>
      <c r="B214" s="241"/>
      <c r="C214" s="241"/>
      <c r="D214" s="753"/>
      <c r="E214" s="907" t="s">
        <v>181</v>
      </c>
      <c r="F214" s="908"/>
      <c r="G214" s="750" t="s">
        <v>2253</v>
      </c>
    </row>
    <row r="215" spans="1:7" s="42" customFormat="1" ht="12" customHeight="1">
      <c r="A215" s="387"/>
      <c r="B215" s="241"/>
      <c r="C215" s="241"/>
      <c r="D215" s="753"/>
      <c r="E215" s="393" t="s">
        <v>3510</v>
      </c>
      <c r="F215" s="708"/>
      <c r="G215" s="750" t="s">
        <v>2253</v>
      </c>
    </row>
    <row r="216" spans="1:7" s="42" customFormat="1" ht="6" customHeight="1">
      <c r="A216" s="104"/>
      <c r="B216" s="709"/>
      <c r="C216" s="753"/>
      <c r="D216" s="753"/>
      <c r="E216" s="752"/>
      <c r="F216" s="396"/>
      <c r="G216" s="654"/>
    </row>
    <row r="217" spans="1:7" s="42" customFormat="1" ht="12.6" customHeight="1">
      <c r="A217" s="387">
        <v>34</v>
      </c>
      <c r="B217" s="753" t="s">
        <v>2669</v>
      </c>
      <c r="C217" s="753"/>
      <c r="D217" s="753"/>
      <c r="E217" s="752"/>
      <c r="F217" s="396"/>
      <c r="G217" s="601"/>
    </row>
    <row r="218" spans="1:7" s="42" customFormat="1" ht="12" customHeight="1">
      <c r="A218" s="104"/>
      <c r="B218" s="241"/>
      <c r="C218" s="752" t="s">
        <v>2671</v>
      </c>
      <c r="D218" s="753"/>
      <c r="E218" s="752" t="s">
        <v>182</v>
      </c>
      <c r="F218" s="396"/>
      <c r="G218" s="750" t="s">
        <v>2253</v>
      </c>
    </row>
    <row r="219" spans="1:7" s="42" customFormat="1" ht="12" customHeight="1">
      <c r="A219" s="104"/>
      <c r="B219" s="752"/>
      <c r="C219" s="752" t="s">
        <v>2672</v>
      </c>
      <c r="D219" s="753"/>
      <c r="E219" s="396" t="s">
        <v>148</v>
      </c>
      <c r="F219" s="396"/>
      <c r="G219" s="750" t="s">
        <v>2253</v>
      </c>
    </row>
    <row r="220" spans="1:7" s="42" customFormat="1" ht="12" customHeight="1">
      <c r="A220" s="104"/>
      <c r="B220" s="752"/>
      <c r="C220" s="709" t="s">
        <v>2670</v>
      </c>
      <c r="D220" s="753"/>
      <c r="E220" s="752" t="s">
        <v>183</v>
      </c>
      <c r="F220" s="396"/>
      <c r="G220" s="750" t="s">
        <v>2253</v>
      </c>
    </row>
    <row r="221" spans="1:7" s="42" customFormat="1" ht="6" customHeight="1">
      <c r="A221" s="104"/>
      <c r="B221" s="709"/>
      <c r="C221" s="753"/>
      <c r="D221" s="753"/>
      <c r="E221" s="752"/>
      <c r="F221" s="396"/>
      <c r="G221" s="313"/>
    </row>
    <row r="222" spans="1:7" s="42" customFormat="1" ht="12" customHeight="1">
      <c r="A222" s="387">
        <v>35</v>
      </c>
      <c r="B222" s="753" t="s">
        <v>1906</v>
      </c>
      <c r="C222" s="241"/>
      <c r="D222" s="753"/>
      <c r="E222" s="752" t="s">
        <v>1907</v>
      </c>
      <c r="F222" s="396"/>
      <c r="G222" s="750" t="s">
        <v>3963</v>
      </c>
    </row>
    <row r="223" spans="1:7" s="42" customFormat="1" ht="6" customHeight="1">
      <c r="A223" s="104"/>
      <c r="B223" s="709"/>
      <c r="C223" s="753"/>
      <c r="D223" s="753"/>
      <c r="E223" s="752"/>
      <c r="F223" s="396"/>
      <c r="G223" s="313"/>
    </row>
    <row r="224" spans="1:7" s="42" customFormat="1" ht="12" customHeight="1">
      <c r="A224" s="387">
        <v>36</v>
      </c>
      <c r="B224" s="753" t="s">
        <v>275</v>
      </c>
      <c r="C224" s="241"/>
      <c r="D224" s="753"/>
      <c r="E224" s="752" t="s">
        <v>1908</v>
      </c>
      <c r="F224" s="396"/>
      <c r="G224" s="750" t="s">
        <v>2253</v>
      </c>
    </row>
    <row r="225" spans="1:7" s="42" customFormat="1" ht="6" customHeight="1">
      <c r="A225" s="104"/>
      <c r="B225" s="709"/>
      <c r="C225" s="753"/>
      <c r="D225" s="753"/>
      <c r="E225" s="752"/>
      <c r="F225" s="396"/>
      <c r="G225" s="106"/>
    </row>
    <row r="226" spans="1:7" s="42" customFormat="1" ht="12" customHeight="1">
      <c r="A226" s="387">
        <v>37</v>
      </c>
      <c r="B226" s="753" t="s">
        <v>2735</v>
      </c>
      <c r="C226" s="241"/>
      <c r="D226" s="753"/>
      <c r="E226" s="752" t="s">
        <v>526</v>
      </c>
      <c r="F226" s="396"/>
      <c r="G226" s="750" t="s">
        <v>3963</v>
      </c>
    </row>
    <row r="227" spans="1:7" s="42" customFormat="1" ht="12" customHeight="1">
      <c r="A227" s="104"/>
      <c r="B227" s="752"/>
      <c r="C227" s="753"/>
      <c r="D227" s="753"/>
      <c r="E227" s="396" t="s">
        <v>527</v>
      </c>
      <c r="F227" s="396"/>
      <c r="G227" s="750" t="s">
        <v>3963</v>
      </c>
    </row>
    <row r="228" spans="1:7" s="42" customFormat="1" ht="12" customHeight="1">
      <c r="A228" s="104"/>
      <c r="B228" s="752"/>
      <c r="C228" s="408"/>
      <c r="D228" s="753"/>
      <c r="E228" s="752" t="s">
        <v>528</v>
      </c>
      <c r="F228" s="396"/>
      <c r="G228" s="750" t="s">
        <v>3963</v>
      </c>
    </row>
    <row r="229" spans="1:7" s="42" customFormat="1" ht="12" customHeight="1">
      <c r="A229" s="104"/>
      <c r="B229" s="709"/>
      <c r="C229" s="753"/>
      <c r="D229" s="753"/>
      <c r="E229" s="767" t="s">
        <v>529</v>
      </c>
      <c r="F229" s="396"/>
      <c r="G229" s="750" t="s">
        <v>3963</v>
      </c>
    </row>
    <row r="230" spans="1:7" s="42" customFormat="1" ht="12" customHeight="1">
      <c r="A230" s="104"/>
      <c r="B230" s="752"/>
      <c r="E230" s="752" t="s">
        <v>35</v>
      </c>
      <c r="F230" s="396"/>
      <c r="G230" s="750" t="s">
        <v>3963</v>
      </c>
    </row>
    <row r="231" spans="1:7" s="42" customFormat="1" ht="12" customHeight="1">
      <c r="A231" s="104"/>
      <c r="B231" s="709"/>
      <c r="E231" s="767" t="s">
        <v>36</v>
      </c>
      <c r="F231" s="396"/>
      <c r="G231" s="750" t="s">
        <v>3963</v>
      </c>
    </row>
    <row r="232" spans="1:7" s="42" customFormat="1" ht="6" customHeight="1">
      <c r="A232" s="104"/>
      <c r="B232" s="709"/>
      <c r="C232" s="753"/>
      <c r="D232" s="753"/>
      <c r="E232" s="752"/>
      <c r="F232" s="396"/>
      <c r="G232" s="106"/>
    </row>
    <row r="233" spans="1:7" s="42" customFormat="1" ht="12" customHeight="1">
      <c r="A233" s="387">
        <v>38</v>
      </c>
      <c r="B233" s="753" t="s">
        <v>3552</v>
      </c>
      <c r="C233" s="241"/>
      <c r="D233" s="753"/>
      <c r="E233" s="752" t="s">
        <v>3511</v>
      </c>
      <c r="F233" s="396"/>
      <c r="G233" s="750" t="s">
        <v>3963</v>
      </c>
    </row>
    <row r="234" spans="1:7" s="42" customFormat="1" ht="12" customHeight="1">
      <c r="A234" s="104"/>
      <c r="B234" s="752"/>
      <c r="C234" s="753"/>
      <c r="D234" s="753"/>
      <c r="E234" s="396" t="s">
        <v>3512</v>
      </c>
      <c r="F234" s="396"/>
      <c r="G234" s="750" t="s">
        <v>2253</v>
      </c>
    </row>
    <row r="235" spans="1:7" s="42" customFormat="1" ht="6" customHeight="1">
      <c r="A235" s="104"/>
      <c r="B235" s="417"/>
      <c r="C235" s="768"/>
      <c r="D235" s="768"/>
      <c r="E235" s="769"/>
      <c r="F235" s="106"/>
      <c r="G235" s="106"/>
    </row>
    <row r="236" spans="1:7" s="42" customFormat="1" ht="13.2" customHeight="1">
      <c r="A236" s="387">
        <v>39</v>
      </c>
      <c r="B236" s="753" t="s">
        <v>2363</v>
      </c>
      <c r="E236" s="770" t="s">
        <v>3976</v>
      </c>
      <c r="F236" s="770"/>
      <c r="G236" s="750" t="s">
        <v>3963</v>
      </c>
    </row>
    <row r="237" spans="1:7" s="42" customFormat="1" ht="12.6" customHeight="1">
      <c r="A237" s="104"/>
      <c r="C237" s="909" t="s">
        <v>1026</v>
      </c>
      <c r="D237" s="910"/>
      <c r="E237" s="770" t="s">
        <v>3974</v>
      </c>
      <c r="F237" s="771"/>
      <c r="G237" s="750" t="s">
        <v>3963</v>
      </c>
    </row>
    <row r="238" spans="1:7" s="42" customFormat="1" ht="12.6" customHeight="1">
      <c r="A238" s="104"/>
      <c r="C238" s="909"/>
      <c r="D238" s="910"/>
      <c r="E238" s="771" t="s">
        <v>3975</v>
      </c>
      <c r="F238" s="771"/>
      <c r="G238" s="750" t="s">
        <v>3963</v>
      </c>
    </row>
    <row r="239" spans="1:7" s="42" customFormat="1" ht="12.6" customHeight="1">
      <c r="A239" s="104"/>
      <c r="C239" s="911"/>
      <c r="D239" s="910"/>
      <c r="E239" s="771" t="s">
        <v>3977</v>
      </c>
      <c r="F239" s="772"/>
      <c r="G239" s="750" t="s">
        <v>3963</v>
      </c>
    </row>
    <row r="240" spans="1:7" s="42" customFormat="1" ht="26.4" customHeight="1">
      <c r="A240" s="904" t="s">
        <v>3127</v>
      </c>
      <c r="B240" s="905"/>
      <c r="C240" s="905"/>
      <c r="D240" s="905"/>
      <c r="E240" s="905"/>
      <c r="F240" s="905"/>
      <c r="G240" s="906"/>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H12" sqref="H12"/>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193" t="str">
        <f>CONCATENATE("PART SIX - PROJECTED REVENUES &amp; EXPENSES","  -  ",'Part I-Project Information'!$O$4," ",'Part I-Project Information'!$F$22,", ",'Part I-Project Information'!F24,", ",'Part I-Project Information'!J25," County")</f>
        <v>PART SIX - PROJECTED REVENUES &amp; EXPENSES  -  2011-053 Hampton Court , Hampton, Henry County</v>
      </c>
      <c r="B1" s="1194"/>
      <c r="C1" s="1194"/>
      <c r="D1" s="1194"/>
      <c r="E1" s="1194"/>
      <c r="F1" s="1194"/>
      <c r="G1" s="1194"/>
      <c r="H1" s="1194"/>
      <c r="I1" s="1194"/>
      <c r="J1" s="1194"/>
      <c r="K1" s="1194"/>
      <c r="L1" s="1194"/>
      <c r="M1" s="1194"/>
      <c r="N1" s="1194"/>
      <c r="O1" s="1194"/>
      <c r="P1" s="1195"/>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3572</v>
      </c>
      <c r="C3" s="2"/>
      <c r="D3" s="167" t="s">
        <v>328</v>
      </c>
      <c r="E3" s="2"/>
      <c r="F3" s="2"/>
      <c r="G3" s="167"/>
      <c r="H3" s="167"/>
      <c r="I3" s="167"/>
      <c r="J3" s="167"/>
      <c r="K3" s="167"/>
      <c r="L3" s="167"/>
      <c r="N3" s="707" t="s">
        <v>886</v>
      </c>
      <c r="O3" s="1368" t="str">
        <f>'Part I-Project Information'!$J$26</f>
        <v>Atlanta-Sandy Springs-Marietta</v>
      </c>
      <c r="P3" s="13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3687</v>
      </c>
      <c r="FA3" s="655" t="s">
        <v>3688</v>
      </c>
      <c r="FB3" s="655" t="s">
        <v>3689</v>
      </c>
      <c r="FC3" s="655" t="s">
        <v>3690</v>
      </c>
      <c r="FD3" s="656"/>
      <c r="FE3" s="656"/>
      <c r="FF3" s="656"/>
      <c r="FG3" s="656"/>
      <c r="FH3" s="656"/>
      <c r="FI3" s="655" t="s">
        <v>716</v>
      </c>
      <c r="FJ3" s="655" t="s">
        <v>3687</v>
      </c>
      <c r="FK3" s="655" t="s">
        <v>3688</v>
      </c>
      <c r="FL3" s="655" t="s">
        <v>3689</v>
      </c>
      <c r="FM3" s="655" t="s">
        <v>3690</v>
      </c>
      <c r="FN3" s="655" t="s">
        <v>716</v>
      </c>
      <c r="FO3" s="655" t="s">
        <v>3687</v>
      </c>
      <c r="FP3" s="655" t="s">
        <v>3688</v>
      </c>
      <c r="FQ3" s="655" t="s">
        <v>3689</v>
      </c>
      <c r="FR3" s="655" t="s">
        <v>3690</v>
      </c>
      <c r="FS3" s="655" t="s">
        <v>716</v>
      </c>
      <c r="FT3" s="655" t="s">
        <v>3687</v>
      </c>
      <c r="FU3" s="655" t="s">
        <v>3688</v>
      </c>
      <c r="FV3" s="655" t="s">
        <v>3689</v>
      </c>
      <c r="FW3" s="655" t="s">
        <v>3690</v>
      </c>
      <c r="FX3" s="655" t="s">
        <v>716</v>
      </c>
      <c r="FY3" s="655" t="s">
        <v>3687</v>
      </c>
      <c r="FZ3" s="655" t="s">
        <v>3688</v>
      </c>
      <c r="GA3" s="655" t="s">
        <v>3689</v>
      </c>
      <c r="GB3" s="655" t="s">
        <v>3690</v>
      </c>
      <c r="GC3" s="655" t="s">
        <v>716</v>
      </c>
      <c r="GD3" s="655" t="s">
        <v>3687</v>
      </c>
      <c r="GE3" s="655" t="s">
        <v>3688</v>
      </c>
      <c r="GF3" s="655" t="s">
        <v>3689</v>
      </c>
      <c r="GG3" s="655" t="s">
        <v>3690</v>
      </c>
      <c r="GH3" s="655" t="s">
        <v>716</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2" t="s">
        <v>1513</v>
      </c>
      <c r="U4" s="1332" t="s">
        <v>1247</v>
      </c>
      <c r="V4" s="1332" t="s">
        <v>1248</v>
      </c>
      <c r="W4" s="1332" t="s">
        <v>1249</v>
      </c>
      <c r="X4" s="1332" t="s">
        <v>1250</v>
      </c>
      <c r="Y4" s="1332" t="s">
        <v>1514</v>
      </c>
      <c r="Z4" s="1332" t="s">
        <v>3453</v>
      </c>
      <c r="AA4" s="1332" t="s">
        <v>3454</v>
      </c>
      <c r="AB4" s="1332" t="s">
        <v>3455</v>
      </c>
      <c r="AC4" s="1332" t="s">
        <v>3456</v>
      </c>
      <c r="AD4" s="1332" t="s">
        <v>1515</v>
      </c>
      <c r="AE4" s="1332" t="s">
        <v>3457</v>
      </c>
      <c r="AF4" s="1332" t="s">
        <v>3458</v>
      </c>
      <c r="AG4" s="1332" t="s">
        <v>3459</v>
      </c>
      <c r="AH4" s="1332" t="s">
        <v>3460</v>
      </c>
      <c r="AI4" s="1332" t="s">
        <v>152</v>
      </c>
      <c r="AJ4" s="1332" t="s">
        <v>3461</v>
      </c>
      <c r="AK4" s="1332" t="s">
        <v>3462</v>
      </c>
      <c r="AL4" s="1332" t="s">
        <v>3463</v>
      </c>
      <c r="AM4" s="1332" t="s">
        <v>1790</v>
      </c>
      <c r="AN4" s="1332" t="s">
        <v>853</v>
      </c>
      <c r="AO4" s="1332" t="s">
        <v>854</v>
      </c>
      <c r="AP4" s="1332" t="s">
        <v>891</v>
      </c>
      <c r="AQ4" s="1332" t="s">
        <v>892</v>
      </c>
      <c r="AR4" s="1332" t="s">
        <v>893</v>
      </c>
      <c r="AS4" s="1332" t="s">
        <v>894</v>
      </c>
      <c r="AT4" s="1332" t="s">
        <v>895</v>
      </c>
      <c r="AU4" s="1332" t="s">
        <v>896</v>
      </c>
      <c r="AV4" s="1332" t="s">
        <v>897</v>
      </c>
      <c r="AW4" s="1332" t="s">
        <v>898</v>
      </c>
      <c r="AX4" s="1332" t="s">
        <v>899</v>
      </c>
      <c r="AY4" s="1332" t="s">
        <v>900</v>
      </c>
      <c r="AZ4" s="1332" t="s">
        <v>1526</v>
      </c>
      <c r="BA4" s="1332" t="s">
        <v>1527</v>
      </c>
      <c r="BB4" s="1332" t="s">
        <v>1528</v>
      </c>
      <c r="BC4" s="1332" t="s">
        <v>736</v>
      </c>
      <c r="BD4" s="1332" t="s">
        <v>737</v>
      </c>
      <c r="BE4" s="1332" t="s">
        <v>738</v>
      </c>
      <c r="BF4" s="1332" t="s">
        <v>739</v>
      </c>
      <c r="BG4" s="1332" t="s">
        <v>740</v>
      </c>
      <c r="BH4" s="1332" t="s">
        <v>1472</v>
      </c>
      <c r="BI4" s="1332" t="s">
        <v>1473</v>
      </c>
      <c r="BJ4" s="1332" t="s">
        <v>1474</v>
      </c>
      <c r="BK4" s="1332" t="s">
        <v>1475</v>
      </c>
      <c r="BL4" s="1332" t="s">
        <v>1476</v>
      </c>
      <c r="BM4" s="1332" t="s">
        <v>1477</v>
      </c>
      <c r="BN4" s="1332" t="s">
        <v>1478</v>
      </c>
      <c r="BO4" s="1332" t="s">
        <v>1479</v>
      </c>
      <c r="BP4" s="1332" t="s">
        <v>1480</v>
      </c>
      <c r="BQ4" s="1332" t="s">
        <v>1481</v>
      </c>
      <c r="BR4" s="1332" t="s">
        <v>3677</v>
      </c>
      <c r="BS4" s="1332" t="s">
        <v>3678</v>
      </c>
      <c r="BT4" s="1332" t="s">
        <v>3679</v>
      </c>
      <c r="BU4" s="1332" t="s">
        <v>3680</v>
      </c>
      <c r="BV4" s="1332" t="s">
        <v>3681</v>
      </c>
      <c r="BW4" s="1332" t="s">
        <v>132</v>
      </c>
      <c r="BX4" s="1332" t="s">
        <v>1793</v>
      </c>
      <c r="BY4" s="1332" t="s">
        <v>1794</v>
      </c>
      <c r="BZ4" s="1332" t="s">
        <v>1874</v>
      </c>
      <c r="CA4" s="1332" t="s">
        <v>1875</v>
      </c>
      <c r="CB4" s="1331" t="s">
        <v>155</v>
      </c>
      <c r="CC4" s="1331" t="s">
        <v>1876</v>
      </c>
      <c r="CD4" s="1331" t="s">
        <v>1877</v>
      </c>
      <c r="CE4" s="1331" t="s">
        <v>1878</v>
      </c>
      <c r="CF4" s="1331" t="s">
        <v>1879</v>
      </c>
      <c r="CG4" s="1331" t="s">
        <v>154</v>
      </c>
      <c r="CH4" s="1331" t="s">
        <v>1505</v>
      </c>
      <c r="CI4" s="1331" t="s">
        <v>1506</v>
      </c>
      <c r="CJ4" s="1331" t="s">
        <v>1507</v>
      </c>
      <c r="CK4" s="1331" t="s">
        <v>1508</v>
      </c>
      <c r="CL4" s="1331" t="s">
        <v>153</v>
      </c>
      <c r="CM4" s="1331" t="s">
        <v>1509</v>
      </c>
      <c r="CN4" s="1331" t="s">
        <v>1510</v>
      </c>
      <c r="CO4" s="1331" t="s">
        <v>1511</v>
      </c>
      <c r="CP4" s="1331" t="s">
        <v>1512</v>
      </c>
      <c r="CQ4" s="1331" t="s">
        <v>1391</v>
      </c>
      <c r="CR4" s="1331" t="s">
        <v>1392</v>
      </c>
      <c r="CS4" s="1331" t="s">
        <v>1393</v>
      </c>
      <c r="CT4" s="1331" t="s">
        <v>1394</v>
      </c>
      <c r="CU4" s="1331" t="s">
        <v>1395</v>
      </c>
      <c r="CV4" s="1331" t="s">
        <v>1556</v>
      </c>
      <c r="CW4" s="1331" t="s">
        <v>1557</v>
      </c>
      <c r="CX4" s="1331" t="s">
        <v>1558</v>
      </c>
      <c r="CY4" s="1331" t="s">
        <v>1559</v>
      </c>
      <c r="CZ4" s="1331" t="s">
        <v>3676</v>
      </c>
      <c r="DA4" s="1331" t="s">
        <v>2155</v>
      </c>
      <c r="DB4" s="1331" t="s">
        <v>2156</v>
      </c>
      <c r="DC4" s="1331" t="s">
        <v>2157</v>
      </c>
      <c r="DD4" s="1331" t="s">
        <v>2158</v>
      </c>
      <c r="DE4" s="1331" t="s">
        <v>2159</v>
      </c>
      <c r="DF4" s="1331" t="s">
        <v>645</v>
      </c>
      <c r="DG4" s="1331" t="s">
        <v>646</v>
      </c>
      <c r="DH4" s="1331" t="s">
        <v>647</v>
      </c>
      <c r="DI4" s="1331" t="s">
        <v>648</v>
      </c>
      <c r="DJ4" s="1331" t="s">
        <v>649</v>
      </c>
      <c r="DK4" s="1331" t="s">
        <v>19</v>
      </c>
      <c r="DL4" s="1331" t="s">
        <v>20</v>
      </c>
      <c r="DM4" s="1331" t="s">
        <v>21</v>
      </c>
      <c r="DN4" s="1331" t="s">
        <v>22</v>
      </c>
      <c r="DO4" s="1331" t="s">
        <v>23</v>
      </c>
      <c r="DP4" s="1331" t="s">
        <v>285</v>
      </c>
      <c r="DQ4" s="1331" t="s">
        <v>286</v>
      </c>
      <c r="DR4" s="1331" t="s">
        <v>287</v>
      </c>
      <c r="DS4" s="1331" t="s">
        <v>2848</v>
      </c>
      <c r="DT4" s="1331" t="s">
        <v>2849</v>
      </c>
      <c r="DU4" s="1331" t="s">
        <v>2850</v>
      </c>
      <c r="DV4" s="1331" t="s">
        <v>909</v>
      </c>
      <c r="DW4" s="1331" t="s">
        <v>910</v>
      </c>
      <c r="DX4" s="1331" t="s">
        <v>911</v>
      </c>
      <c r="DY4" s="1331" t="s">
        <v>912</v>
      </c>
      <c r="DZ4" s="1331" t="s">
        <v>24</v>
      </c>
      <c r="EA4" s="1331" t="s">
        <v>25</v>
      </c>
      <c r="EB4" s="1331" t="s">
        <v>26</v>
      </c>
      <c r="EC4" s="1331" t="s">
        <v>27</v>
      </c>
      <c r="ED4" s="1331" t="s">
        <v>28</v>
      </c>
      <c r="EE4" s="1331" t="s">
        <v>733</v>
      </c>
      <c r="EF4" s="1331" t="s">
        <v>641</v>
      </c>
      <c r="EG4" s="1331" t="s">
        <v>642</v>
      </c>
      <c r="EH4" s="1331" t="s">
        <v>643</v>
      </c>
      <c r="EI4" s="1331" t="s">
        <v>644</v>
      </c>
      <c r="EJ4" s="1331" t="s">
        <v>3322</v>
      </c>
      <c r="EK4" s="1331" t="s">
        <v>3323</v>
      </c>
      <c r="EL4" s="1331" t="s">
        <v>3324</v>
      </c>
      <c r="EM4" s="1331" t="s">
        <v>2213</v>
      </c>
      <c r="EN4" s="1331" t="s">
        <v>2214</v>
      </c>
      <c r="EO4" s="1331" t="s">
        <v>29</v>
      </c>
      <c r="EP4" s="1331" t="s">
        <v>30</v>
      </c>
      <c r="EQ4" s="1331" t="s">
        <v>31</v>
      </c>
      <c r="ER4" s="1331" t="s">
        <v>32</v>
      </c>
      <c r="ES4" s="1331"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1" t="s">
        <v>2528</v>
      </c>
      <c r="GN4" s="1331" t="s">
        <v>3812</v>
      </c>
      <c r="GO4" s="1331" t="s">
        <v>3813</v>
      </c>
      <c r="GP4" s="1331" t="s">
        <v>490</v>
      </c>
      <c r="GQ4" s="1331" t="s">
        <v>491</v>
      </c>
      <c r="GR4" s="1331" t="s">
        <v>492</v>
      </c>
      <c r="GS4" s="1331" t="s">
        <v>493</v>
      </c>
      <c r="GT4" s="1331" t="s">
        <v>494</v>
      </c>
      <c r="GU4" s="1331" t="s">
        <v>495</v>
      </c>
      <c r="GV4" s="1331" t="s">
        <v>496</v>
      </c>
      <c r="GW4" s="1331" t="s">
        <v>260</v>
      </c>
      <c r="GX4" s="1331" t="s">
        <v>261</v>
      </c>
      <c r="GY4" s="1331" t="s">
        <v>262</v>
      </c>
      <c r="GZ4" s="1331" t="s">
        <v>263</v>
      </c>
      <c r="HA4" s="1331" t="s">
        <v>264</v>
      </c>
      <c r="HB4" s="1331" t="s">
        <v>265</v>
      </c>
      <c r="HC4" s="1331" t="s">
        <v>266</v>
      </c>
      <c r="HD4" s="1331" t="s">
        <v>267</v>
      </c>
      <c r="HE4" s="1331" t="s">
        <v>268</v>
      </c>
      <c r="HF4" s="1331" t="s">
        <v>269</v>
      </c>
      <c r="HG4" s="1331" t="s">
        <v>270</v>
      </c>
      <c r="HH4" s="1331" t="s">
        <v>271</v>
      </c>
      <c r="HI4" s="1331" t="s">
        <v>272</v>
      </c>
      <c r="HJ4" s="1331" t="s">
        <v>273</v>
      </c>
      <c r="HK4" s="1331" t="s">
        <v>274</v>
      </c>
    </row>
    <row r="5" spans="1:219" s="122" customFormat="1" ht="13.2" customHeight="1">
      <c r="B5" s="5" t="s">
        <v>2899</v>
      </c>
      <c r="D5" s="2"/>
      <c r="E5" s="5"/>
      <c r="F5" s="2"/>
      <c r="G5" s="827"/>
      <c r="O5" s="2"/>
      <c r="P5" s="657" t="s">
        <v>1658</v>
      </c>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1"/>
      <c r="CC5" s="1331"/>
      <c r="CD5" s="1331"/>
      <c r="CE5" s="1331"/>
      <c r="CF5" s="1331"/>
      <c r="CG5" s="1331"/>
      <c r="CH5" s="1331"/>
      <c r="CI5" s="1331"/>
      <c r="CJ5" s="1331"/>
      <c r="CK5" s="1331"/>
      <c r="CL5" s="1331"/>
      <c r="CM5" s="1331"/>
      <c r="CN5" s="1331"/>
      <c r="CO5" s="1331"/>
      <c r="CP5" s="1331"/>
      <c r="CQ5" s="1331"/>
      <c r="CR5" s="1331"/>
      <c r="CS5" s="1331"/>
      <c r="CT5" s="1331"/>
      <c r="CU5" s="1331"/>
      <c r="CV5" s="1331"/>
      <c r="CW5" s="1331"/>
      <c r="CX5" s="1331"/>
      <c r="CY5" s="1331"/>
      <c r="CZ5" s="1331"/>
      <c r="DA5" s="1331"/>
      <c r="DB5" s="1331"/>
      <c r="DC5" s="1331"/>
      <c r="DD5" s="1331"/>
      <c r="DE5" s="1331"/>
      <c r="DF5" s="1331"/>
      <c r="DG5" s="1331"/>
      <c r="DH5" s="1331"/>
      <c r="DI5" s="1331"/>
      <c r="DJ5" s="1331"/>
      <c r="DK5" s="1331"/>
      <c r="DL5" s="1331"/>
      <c r="DM5" s="1331"/>
      <c r="DN5" s="1331"/>
      <c r="DO5" s="1331"/>
      <c r="DP5" s="1331"/>
      <c r="DQ5" s="1331"/>
      <c r="DR5" s="1331"/>
      <c r="DS5" s="1331"/>
      <c r="DT5" s="1331"/>
      <c r="DU5" s="1331"/>
      <c r="DV5" s="1331"/>
      <c r="DW5" s="1331"/>
      <c r="DX5" s="1331"/>
      <c r="DY5" s="1331"/>
      <c r="DZ5" s="1331"/>
      <c r="EA5" s="1331"/>
      <c r="EB5" s="1331"/>
      <c r="EC5" s="1331"/>
      <c r="ED5" s="1331"/>
      <c r="EE5" s="1331"/>
      <c r="EF5" s="1331"/>
      <c r="EG5" s="1331"/>
      <c r="EH5" s="1331"/>
      <c r="EI5" s="1331"/>
      <c r="EJ5" s="1331"/>
      <c r="EK5" s="1331"/>
      <c r="EL5" s="1331"/>
      <c r="EM5" s="1331"/>
      <c r="EN5" s="1331"/>
      <c r="EO5" s="1331"/>
      <c r="EP5" s="1331"/>
      <c r="EQ5" s="1331"/>
      <c r="ER5" s="1331"/>
      <c r="ES5" s="1331"/>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1"/>
      <c r="GN5" s="1331"/>
      <c r="GO5" s="1331"/>
      <c r="GP5" s="1331"/>
      <c r="GQ5" s="1331"/>
      <c r="GR5" s="1331"/>
      <c r="GS5" s="1331"/>
      <c r="GT5" s="1331"/>
      <c r="GU5" s="1331"/>
      <c r="GV5" s="1331"/>
      <c r="GW5" s="1331"/>
      <c r="GX5" s="1331"/>
      <c r="GY5" s="1331"/>
      <c r="GZ5" s="1331"/>
      <c r="HA5" s="1331"/>
      <c r="HB5" s="1331"/>
      <c r="HC5" s="1331"/>
      <c r="HD5" s="1331"/>
      <c r="HE5" s="1331"/>
      <c r="HF5" s="1331"/>
      <c r="HG5" s="1331"/>
      <c r="HH5" s="1331"/>
      <c r="HI5" s="1331"/>
      <c r="HJ5" s="1331"/>
      <c r="HK5" s="1331"/>
    </row>
    <row r="6" spans="1:219" s="122" customFormat="1" ht="13.2" customHeight="1">
      <c r="B6" s="35" t="s">
        <v>2839</v>
      </c>
      <c r="D6" s="2"/>
      <c r="E6" s="5"/>
      <c r="G6" s="828" t="s">
        <v>3965</v>
      </c>
      <c r="J6" s="738" t="s">
        <v>3646</v>
      </c>
      <c r="O6" s="2"/>
      <c r="P6" s="658">
        <f>VLOOKUP('Part I-Project Information'!$J$26,'DCA Underwriting Assumptions'!$C$77:$D$187,2)</f>
        <v>68300</v>
      </c>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1"/>
      <c r="CC6" s="1331"/>
      <c r="CD6" s="1331"/>
      <c r="CE6" s="1331"/>
      <c r="CF6" s="1331"/>
      <c r="CG6" s="1331"/>
      <c r="CH6" s="1331"/>
      <c r="CI6" s="1331"/>
      <c r="CJ6" s="1331"/>
      <c r="CK6" s="1331"/>
      <c r="CL6" s="1331"/>
      <c r="CM6" s="1331"/>
      <c r="CN6" s="1331"/>
      <c r="CO6" s="1331"/>
      <c r="CP6" s="1331"/>
      <c r="CQ6" s="1331"/>
      <c r="CR6" s="1331"/>
      <c r="CS6" s="1331"/>
      <c r="CT6" s="1331"/>
      <c r="CU6" s="1331"/>
      <c r="CV6" s="1331"/>
      <c r="CW6" s="1331"/>
      <c r="CX6" s="1331"/>
      <c r="CY6" s="1331"/>
      <c r="CZ6" s="1331"/>
      <c r="DA6" s="1331"/>
      <c r="DB6" s="1331"/>
      <c r="DC6" s="1331"/>
      <c r="DD6" s="1331"/>
      <c r="DE6" s="1331"/>
      <c r="DF6" s="1331"/>
      <c r="DG6" s="1331"/>
      <c r="DH6" s="1331"/>
      <c r="DI6" s="1331"/>
      <c r="DJ6" s="1331"/>
      <c r="DK6" s="1331"/>
      <c r="DL6" s="1331"/>
      <c r="DM6" s="1331"/>
      <c r="DN6" s="1331"/>
      <c r="DO6" s="1331"/>
      <c r="DP6" s="1331"/>
      <c r="DQ6" s="1331"/>
      <c r="DR6" s="1331"/>
      <c r="DS6" s="1331"/>
      <c r="DT6" s="1331"/>
      <c r="DU6" s="1331"/>
      <c r="DV6" s="1331"/>
      <c r="DW6" s="1331"/>
      <c r="DX6" s="1331"/>
      <c r="DY6" s="1331"/>
      <c r="DZ6" s="1331"/>
      <c r="EA6" s="1331"/>
      <c r="EB6" s="1331"/>
      <c r="EC6" s="1331"/>
      <c r="ED6" s="1331"/>
      <c r="EE6" s="1331"/>
      <c r="EF6" s="1331"/>
      <c r="EG6" s="1331"/>
      <c r="EH6" s="1331"/>
      <c r="EI6" s="1331"/>
      <c r="EJ6" s="1331"/>
      <c r="EK6" s="1331"/>
      <c r="EL6" s="1331"/>
      <c r="EM6" s="1331"/>
      <c r="EN6" s="1331"/>
      <c r="EO6" s="1331"/>
      <c r="EP6" s="1331"/>
      <c r="EQ6" s="1331"/>
      <c r="ER6" s="1331"/>
      <c r="ES6" s="1331"/>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1"/>
      <c r="GN6" s="1331"/>
      <c r="GO6" s="1331"/>
      <c r="GP6" s="1331"/>
      <c r="GQ6" s="1331"/>
      <c r="GR6" s="1331"/>
      <c r="GS6" s="1331"/>
      <c r="GT6" s="1331"/>
      <c r="GU6" s="1331"/>
      <c r="GV6" s="1331"/>
      <c r="GW6" s="1331"/>
      <c r="GX6" s="1331"/>
      <c r="GY6" s="1331"/>
      <c r="GZ6" s="1331"/>
      <c r="HA6" s="1331"/>
      <c r="HB6" s="1331"/>
      <c r="HC6" s="1331"/>
      <c r="HD6" s="1331"/>
      <c r="HE6" s="1331"/>
      <c r="HF6" s="1331"/>
      <c r="HG6" s="1331"/>
      <c r="HH6" s="1331"/>
      <c r="HI6" s="1331"/>
      <c r="HJ6" s="1331"/>
      <c r="HK6" s="1331"/>
    </row>
    <row r="7" spans="1:219" s="122" customFormat="1" ht="13.95" customHeight="1">
      <c r="A7" s="1367" t="str">
        <f>IF(A48&gt;0,"Finish!","")</f>
        <v/>
      </c>
      <c r="B7" s="5"/>
      <c r="C7" s="2"/>
      <c r="D7" s="5"/>
      <c r="E7" s="2"/>
      <c r="F7" s="2"/>
      <c r="G7" s="2"/>
      <c r="H7" s="2"/>
      <c r="I7" s="2"/>
      <c r="J7" s="3" t="s">
        <v>3647</v>
      </c>
      <c r="K7" s="2"/>
      <c r="L7" s="2"/>
      <c r="M7" s="2"/>
      <c r="N7" s="39"/>
      <c r="O7" s="39"/>
      <c r="P7" s="574"/>
      <c r="Q7" s="574"/>
      <c r="R7" s="574"/>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1"/>
      <c r="CC7" s="1331"/>
      <c r="CD7" s="1331"/>
      <c r="CE7" s="1331"/>
      <c r="CF7" s="1331"/>
      <c r="CG7" s="1331"/>
      <c r="CH7" s="1331"/>
      <c r="CI7" s="1331"/>
      <c r="CJ7" s="1331"/>
      <c r="CK7" s="1331"/>
      <c r="CL7" s="1331"/>
      <c r="CM7" s="1331"/>
      <c r="CN7" s="1331"/>
      <c r="CO7" s="1331"/>
      <c r="CP7" s="1331"/>
      <c r="CQ7" s="1331"/>
      <c r="CR7" s="1331"/>
      <c r="CS7" s="1331"/>
      <c r="CT7" s="1331"/>
      <c r="CU7" s="1331"/>
      <c r="CV7" s="1331"/>
      <c r="CW7" s="1331"/>
      <c r="CX7" s="1331"/>
      <c r="CY7" s="1331"/>
      <c r="CZ7" s="1331"/>
      <c r="DA7" s="1331"/>
      <c r="DB7" s="1331"/>
      <c r="DC7" s="1331"/>
      <c r="DD7" s="1331"/>
      <c r="DE7" s="1331"/>
      <c r="DF7" s="1331"/>
      <c r="DG7" s="1331"/>
      <c r="DH7" s="1331"/>
      <c r="DI7" s="1331"/>
      <c r="DJ7" s="1331"/>
      <c r="DK7" s="1331"/>
      <c r="DL7" s="1331"/>
      <c r="DM7" s="1331"/>
      <c r="DN7" s="1331"/>
      <c r="DO7" s="1331"/>
      <c r="DP7" s="1331"/>
      <c r="DQ7" s="1331"/>
      <c r="DR7" s="1331"/>
      <c r="DS7" s="1331"/>
      <c r="DT7" s="1331"/>
      <c r="DU7" s="1331"/>
      <c r="DV7" s="1331"/>
      <c r="DW7" s="1331"/>
      <c r="DX7" s="1331"/>
      <c r="DY7" s="1331"/>
      <c r="DZ7" s="1331"/>
      <c r="EA7" s="1331"/>
      <c r="EB7" s="1331"/>
      <c r="EC7" s="1331"/>
      <c r="ED7" s="1331"/>
      <c r="EE7" s="1331"/>
      <c r="EF7" s="1331"/>
      <c r="EG7" s="1331"/>
      <c r="EH7" s="1331"/>
      <c r="EI7" s="1331"/>
      <c r="EJ7" s="1331"/>
      <c r="EK7" s="1331"/>
      <c r="EL7" s="1331"/>
      <c r="EM7" s="1331"/>
      <c r="EN7" s="1331"/>
      <c r="EO7" s="1331"/>
      <c r="EP7" s="1331"/>
      <c r="EQ7" s="1331"/>
      <c r="ER7" s="1331"/>
      <c r="ES7" s="1331"/>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1"/>
      <c r="GN7" s="1331"/>
      <c r="GO7" s="1331"/>
      <c r="GP7" s="1331"/>
      <c r="GQ7" s="1331"/>
      <c r="GR7" s="1331"/>
      <c r="GS7" s="1331"/>
      <c r="GT7" s="1331"/>
      <c r="GU7" s="1331"/>
      <c r="GV7" s="1331"/>
      <c r="GW7" s="1331"/>
      <c r="GX7" s="1331"/>
      <c r="GY7" s="1331"/>
      <c r="GZ7" s="1331"/>
      <c r="HA7" s="1331"/>
      <c r="HB7" s="1331"/>
      <c r="HC7" s="1331"/>
      <c r="HD7" s="1331"/>
      <c r="HE7" s="1331"/>
      <c r="HF7" s="1331"/>
      <c r="HG7" s="1331"/>
      <c r="HH7" s="1331"/>
      <c r="HI7" s="1331"/>
      <c r="HJ7" s="1331"/>
      <c r="HK7" s="1331"/>
    </row>
    <row r="8" spans="1:219" s="150" customFormat="1" ht="13.95" customHeight="1">
      <c r="A8" s="1367"/>
      <c r="B8" s="220" t="s">
        <v>2212</v>
      </c>
      <c r="C8" s="738" t="s">
        <v>228</v>
      </c>
      <c r="D8" s="738" t="s">
        <v>839</v>
      </c>
      <c r="E8" s="738" t="s">
        <v>2210</v>
      </c>
      <c r="F8" s="738" t="s">
        <v>2210</v>
      </c>
      <c r="G8" s="738" t="s">
        <v>3618</v>
      </c>
      <c r="H8" s="738" t="s">
        <v>3616</v>
      </c>
      <c r="I8" s="738" t="s">
        <v>1380</v>
      </c>
      <c r="J8" s="738" t="s">
        <v>3648</v>
      </c>
      <c r="K8" s="1366" t="s">
        <v>186</v>
      </c>
      <c r="L8" s="1366"/>
      <c r="M8" s="738" t="s">
        <v>3573</v>
      </c>
      <c r="N8" s="738" t="s">
        <v>825</v>
      </c>
      <c r="O8" s="738" t="s">
        <v>487</v>
      </c>
      <c r="P8" s="1369" t="s">
        <v>1665</v>
      </c>
      <c r="Q8" s="1369"/>
      <c r="R8" s="739"/>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1"/>
      <c r="CC8" s="1331"/>
      <c r="CD8" s="1331"/>
      <c r="CE8" s="1331"/>
      <c r="CF8" s="1331"/>
      <c r="CG8" s="1331"/>
      <c r="CH8" s="1331"/>
      <c r="CI8" s="1331"/>
      <c r="CJ8" s="1331"/>
      <c r="CK8" s="1331"/>
      <c r="CL8" s="1331"/>
      <c r="CM8" s="1331"/>
      <c r="CN8" s="1331"/>
      <c r="CO8" s="1331"/>
      <c r="CP8" s="1331"/>
      <c r="CQ8" s="1331"/>
      <c r="CR8" s="1331"/>
      <c r="CS8" s="1331"/>
      <c r="CT8" s="1331"/>
      <c r="CU8" s="1331"/>
      <c r="CV8" s="1331"/>
      <c r="CW8" s="1331"/>
      <c r="CX8" s="1331"/>
      <c r="CY8" s="1331"/>
      <c r="CZ8" s="1331"/>
      <c r="DA8" s="1331"/>
      <c r="DB8" s="1331"/>
      <c r="DC8" s="1331"/>
      <c r="DD8" s="1331"/>
      <c r="DE8" s="1331"/>
      <c r="DF8" s="1331"/>
      <c r="DG8" s="1331"/>
      <c r="DH8" s="1331"/>
      <c r="DI8" s="1331"/>
      <c r="DJ8" s="1331"/>
      <c r="DK8" s="1331"/>
      <c r="DL8" s="1331"/>
      <c r="DM8" s="1331"/>
      <c r="DN8" s="1331"/>
      <c r="DO8" s="1331"/>
      <c r="DP8" s="1331"/>
      <c r="DQ8" s="1331"/>
      <c r="DR8" s="1331"/>
      <c r="DS8" s="1331"/>
      <c r="DT8" s="1331"/>
      <c r="DU8" s="1331"/>
      <c r="DV8" s="1331"/>
      <c r="DW8" s="1331"/>
      <c r="DX8" s="1331"/>
      <c r="DY8" s="1331"/>
      <c r="DZ8" s="1331"/>
      <c r="EA8" s="1331"/>
      <c r="EB8" s="1331"/>
      <c r="EC8" s="1331"/>
      <c r="ED8" s="1331"/>
      <c r="EE8" s="1331"/>
      <c r="EF8" s="1331"/>
      <c r="EG8" s="1331"/>
      <c r="EH8" s="1331"/>
      <c r="EI8" s="1331"/>
      <c r="EJ8" s="1331"/>
      <c r="EK8" s="1331"/>
      <c r="EL8" s="1331"/>
      <c r="EM8" s="1331"/>
      <c r="EN8" s="1331"/>
      <c r="EO8" s="1331"/>
      <c r="EP8" s="1331"/>
      <c r="EQ8" s="1331"/>
      <c r="ER8" s="1331"/>
      <c r="ES8" s="1331"/>
      <c r="ET8" s="1331" t="s">
        <v>2187</v>
      </c>
      <c r="EU8" s="445" t="s">
        <v>3687</v>
      </c>
      <c r="EV8" s="445" t="s">
        <v>3688</v>
      </c>
      <c r="EW8" s="445" t="s">
        <v>3689</v>
      </c>
      <c r="EX8" s="445" t="s">
        <v>3690</v>
      </c>
      <c r="EY8" s="1331" t="s">
        <v>3777</v>
      </c>
      <c r="EZ8" s="1331" t="s">
        <v>3777</v>
      </c>
      <c r="FA8" s="1331" t="s">
        <v>3777</v>
      </c>
      <c r="FB8" s="1331" t="s">
        <v>3777</v>
      </c>
      <c r="FC8" s="1331" t="s">
        <v>3777</v>
      </c>
      <c r="FD8" s="445" t="s">
        <v>716</v>
      </c>
      <c r="FE8" s="445" t="s">
        <v>3687</v>
      </c>
      <c r="FF8" s="445" t="s">
        <v>3688</v>
      </c>
      <c r="FG8" s="445" t="s">
        <v>3689</v>
      </c>
      <c r="FH8" s="445" t="s">
        <v>3690</v>
      </c>
      <c r="FI8" s="1331" t="s">
        <v>3779</v>
      </c>
      <c r="FJ8" s="1331" t="s">
        <v>3779</v>
      </c>
      <c r="FK8" s="1331" t="s">
        <v>3779</v>
      </c>
      <c r="FL8" s="1331" t="s">
        <v>3779</v>
      </c>
      <c r="FM8" s="1331" t="s">
        <v>3779</v>
      </c>
      <c r="FN8" s="1331" t="s">
        <v>459</v>
      </c>
      <c r="FO8" s="1331" t="s">
        <v>459</v>
      </c>
      <c r="FP8" s="1331" t="s">
        <v>459</v>
      </c>
      <c r="FQ8" s="1331" t="s">
        <v>459</v>
      </c>
      <c r="FR8" s="1331" t="s">
        <v>459</v>
      </c>
      <c r="FS8" s="1331" t="s">
        <v>460</v>
      </c>
      <c r="FT8" s="1331" t="s">
        <v>460</v>
      </c>
      <c r="FU8" s="1331" t="s">
        <v>460</v>
      </c>
      <c r="FV8" s="1331" t="s">
        <v>460</v>
      </c>
      <c r="FW8" s="1331" t="s">
        <v>460</v>
      </c>
      <c r="FX8" s="1331" t="s">
        <v>461</v>
      </c>
      <c r="FY8" s="1331" t="s">
        <v>461</v>
      </c>
      <c r="FZ8" s="1331" t="s">
        <v>461</v>
      </c>
      <c r="GA8" s="1331" t="s">
        <v>461</v>
      </c>
      <c r="GB8" s="1331" t="s">
        <v>461</v>
      </c>
      <c r="GC8" s="1331" t="s">
        <v>462</v>
      </c>
      <c r="GD8" s="1331" t="s">
        <v>462</v>
      </c>
      <c r="GE8" s="1331" t="s">
        <v>462</v>
      </c>
      <c r="GF8" s="1331" t="s">
        <v>462</v>
      </c>
      <c r="GG8" s="1331" t="s">
        <v>462</v>
      </c>
      <c r="GH8" s="1331" t="s">
        <v>2186</v>
      </c>
      <c r="GI8" s="1331" t="s">
        <v>2186</v>
      </c>
      <c r="GJ8" s="1331" t="s">
        <v>2186</v>
      </c>
      <c r="GK8" s="1331" t="s">
        <v>2186</v>
      </c>
      <c r="GL8" s="1331" t="s">
        <v>2186</v>
      </c>
      <c r="GM8" s="1331"/>
      <c r="GN8" s="1331"/>
      <c r="GO8" s="1331"/>
      <c r="GP8" s="1331"/>
      <c r="GQ8" s="1331"/>
      <c r="GR8" s="1331"/>
      <c r="GS8" s="1331"/>
      <c r="GT8" s="1331"/>
      <c r="GU8" s="1331"/>
      <c r="GV8" s="1331"/>
      <c r="GW8" s="1331"/>
      <c r="GX8" s="1331"/>
      <c r="GY8" s="1331"/>
      <c r="GZ8" s="1331"/>
      <c r="HA8" s="1331"/>
      <c r="HB8" s="1331"/>
      <c r="HC8" s="1331"/>
      <c r="HD8" s="1331"/>
      <c r="HE8" s="1331"/>
      <c r="HF8" s="1331"/>
      <c r="HG8" s="1331"/>
      <c r="HH8" s="1331"/>
      <c r="HI8" s="1331"/>
      <c r="HJ8" s="1331"/>
      <c r="HK8" s="1331"/>
    </row>
    <row r="9" spans="1:219" s="150" customFormat="1" ht="13.95" customHeight="1">
      <c r="A9" s="1367"/>
      <c r="B9" s="220" t="s">
        <v>1996</v>
      </c>
      <c r="C9" s="738" t="s">
        <v>227</v>
      </c>
      <c r="D9" s="738" t="s">
        <v>229</v>
      </c>
      <c r="E9" s="738" t="s">
        <v>2211</v>
      </c>
      <c r="F9" s="738" t="s">
        <v>1963</v>
      </c>
      <c r="G9" s="738" t="s">
        <v>1964</v>
      </c>
      <c r="H9" s="738" t="s">
        <v>3617</v>
      </c>
      <c r="I9" s="738" t="s">
        <v>1381</v>
      </c>
      <c r="J9" s="684" t="s">
        <v>450</v>
      </c>
      <c r="K9" s="738" t="s">
        <v>2281</v>
      </c>
      <c r="L9" s="738" t="s">
        <v>832</v>
      </c>
      <c r="M9" s="738" t="s">
        <v>2210</v>
      </c>
      <c r="N9" s="738" t="s">
        <v>1996</v>
      </c>
      <c r="O9" s="738" t="s">
        <v>488</v>
      </c>
      <c r="P9" s="739" t="s">
        <v>1663</v>
      </c>
      <c r="Q9" s="739" t="s">
        <v>1664</v>
      </c>
      <c r="R9" s="739"/>
      <c r="S9" s="739" t="s">
        <v>656</v>
      </c>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1"/>
      <c r="CC9" s="1331"/>
      <c r="CD9" s="1331"/>
      <c r="CE9" s="1331"/>
      <c r="CF9" s="1331"/>
      <c r="CG9" s="1331"/>
      <c r="CH9" s="1331"/>
      <c r="CI9" s="1331"/>
      <c r="CJ9" s="1331"/>
      <c r="CK9" s="1331"/>
      <c r="CL9" s="1331"/>
      <c r="CM9" s="1331"/>
      <c r="CN9" s="1331"/>
      <c r="CO9" s="1331"/>
      <c r="CP9" s="1331"/>
      <c r="CQ9" s="1331"/>
      <c r="CR9" s="1331"/>
      <c r="CS9" s="1331"/>
      <c r="CT9" s="1331"/>
      <c r="CU9" s="1331"/>
      <c r="CV9" s="1331"/>
      <c r="CW9" s="1331"/>
      <c r="CX9" s="1331"/>
      <c r="CY9" s="1331"/>
      <c r="CZ9" s="1331"/>
      <c r="DA9" s="1331"/>
      <c r="DB9" s="1331"/>
      <c r="DC9" s="1331"/>
      <c r="DD9" s="1331"/>
      <c r="DE9" s="1331"/>
      <c r="DF9" s="1331"/>
      <c r="DG9" s="1331"/>
      <c r="DH9" s="1331"/>
      <c r="DI9" s="1331"/>
      <c r="DJ9" s="1331"/>
      <c r="DK9" s="1331"/>
      <c r="DL9" s="1331"/>
      <c r="DM9" s="1331"/>
      <c r="DN9" s="1331"/>
      <c r="DO9" s="1331"/>
      <c r="DP9" s="1331"/>
      <c r="DQ9" s="1331"/>
      <c r="DR9" s="1331"/>
      <c r="DS9" s="1331"/>
      <c r="DT9" s="1331"/>
      <c r="DU9" s="1331"/>
      <c r="DV9" s="1331"/>
      <c r="DW9" s="1331"/>
      <c r="DX9" s="1331"/>
      <c r="DY9" s="1331"/>
      <c r="DZ9" s="1331"/>
      <c r="EA9" s="1331"/>
      <c r="EB9" s="1331"/>
      <c r="EC9" s="1331"/>
      <c r="ED9" s="1331"/>
      <c r="EE9" s="1331"/>
      <c r="EF9" s="1331"/>
      <c r="EG9" s="1331"/>
      <c r="EH9" s="1331"/>
      <c r="EI9" s="1331"/>
      <c r="EJ9" s="1331"/>
      <c r="EK9" s="1331"/>
      <c r="EL9" s="1331"/>
      <c r="EM9" s="1331"/>
      <c r="EN9" s="1331"/>
      <c r="EO9" s="1331"/>
      <c r="EP9" s="1331"/>
      <c r="EQ9" s="1331"/>
      <c r="ER9" s="1331"/>
      <c r="ES9" s="1331"/>
      <c r="ET9" s="1331"/>
      <c r="EU9" s="445" t="s">
        <v>3776</v>
      </c>
      <c r="EV9" s="445" t="s">
        <v>3776</v>
      </c>
      <c r="EW9" s="445" t="s">
        <v>3776</v>
      </c>
      <c r="EX9" s="445" t="s">
        <v>3776</v>
      </c>
      <c r="EY9" s="1331"/>
      <c r="EZ9" s="1331"/>
      <c r="FA9" s="1331"/>
      <c r="FB9" s="1331"/>
      <c r="FC9" s="1331"/>
      <c r="FD9" s="445" t="s">
        <v>3778</v>
      </c>
      <c r="FE9" s="445" t="s">
        <v>3778</v>
      </c>
      <c r="FF9" s="445" t="s">
        <v>3778</v>
      </c>
      <c r="FG9" s="445" t="s">
        <v>3778</v>
      </c>
      <c r="FH9" s="445" t="s">
        <v>3778</v>
      </c>
      <c r="FI9" s="1331"/>
      <c r="FJ9" s="1331"/>
      <c r="FK9" s="1331"/>
      <c r="FL9" s="1331"/>
      <c r="FM9" s="1331"/>
      <c r="FN9" s="1331"/>
      <c r="FO9" s="1331"/>
      <c r="FP9" s="1331"/>
      <c r="FQ9" s="1331"/>
      <c r="FR9" s="1331"/>
      <c r="FS9" s="1331"/>
      <c r="FT9" s="1331"/>
      <c r="FU9" s="1331"/>
      <c r="FV9" s="1331"/>
      <c r="FW9" s="1331"/>
      <c r="FX9" s="1331"/>
      <c r="FY9" s="1331"/>
      <c r="FZ9" s="1331"/>
      <c r="GA9" s="1331"/>
      <c r="GB9" s="1331"/>
      <c r="GC9" s="1331"/>
      <c r="GD9" s="1331"/>
      <c r="GE9" s="1331"/>
      <c r="GF9" s="1331"/>
      <c r="GG9" s="1331"/>
      <c r="GH9" s="1331"/>
      <c r="GI9" s="1331"/>
      <c r="GJ9" s="1331"/>
      <c r="GK9" s="1331"/>
      <c r="GL9" s="1331"/>
      <c r="GM9" s="1331"/>
      <c r="GN9" s="1331"/>
      <c r="GO9" s="1331"/>
      <c r="GP9" s="1331"/>
      <c r="GQ9" s="1331"/>
      <c r="GR9" s="1331"/>
      <c r="GS9" s="1331"/>
      <c r="GT9" s="1331"/>
      <c r="GU9" s="1331"/>
      <c r="GV9" s="1331"/>
      <c r="GW9" s="1331"/>
      <c r="GX9" s="1331"/>
      <c r="GY9" s="1331"/>
      <c r="GZ9" s="1331"/>
      <c r="HA9" s="1331"/>
      <c r="HB9" s="1331"/>
      <c r="HC9" s="1331"/>
      <c r="HD9" s="1331"/>
      <c r="HE9" s="1331"/>
      <c r="HF9" s="1331"/>
      <c r="HG9" s="1331"/>
      <c r="HH9" s="1331"/>
      <c r="HI9" s="1331"/>
      <c r="HJ9" s="1331"/>
      <c r="HK9" s="1331"/>
    </row>
    <row r="10" spans="1:219" ht="13.2" customHeight="1">
      <c r="A10" s="146" t="str">
        <f>IF(AND(E10&gt;0,OR(B10="",C10="",D10="",F10="",G10="", H10="",M10="",N10="",O10="")),1,"")</f>
        <v/>
      </c>
      <c r="B10" s="829" t="s">
        <v>133</v>
      </c>
      <c r="C10" s="830">
        <v>2</v>
      </c>
      <c r="D10" s="831">
        <v>2</v>
      </c>
      <c r="E10" s="832">
        <v>9</v>
      </c>
      <c r="F10" s="832">
        <v>1200</v>
      </c>
      <c r="G10" s="832">
        <v>673</v>
      </c>
      <c r="H10" s="832">
        <v>660</v>
      </c>
      <c r="I10" s="832">
        <v>195</v>
      </c>
      <c r="J10" s="833"/>
      <c r="K10" s="226">
        <f>MAX(0,H10-I10)</f>
        <v>465</v>
      </c>
      <c r="L10" s="226">
        <f t="shared" ref="L10:L47" si="0">MAX(0,E10*K10)</f>
        <v>4185</v>
      </c>
      <c r="M10" s="834" t="s">
        <v>3965</v>
      </c>
      <c r="N10" s="834" t="s">
        <v>3981</v>
      </c>
      <c r="O10" s="834" t="s">
        <v>3436</v>
      </c>
      <c r="P10" s="581">
        <f>IF(H10="","",H10*12/0.3)</f>
        <v>26400</v>
      </c>
      <c r="Q10" s="582">
        <f>IF(H10="","",P10/($P$6*VLOOKUP(C10,'DCA Underwriting Assumptions'!$J$77:$K$82,2,FALSE)))</f>
        <v>0.42947779404587605</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9</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10800</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f t="shared" ref="DC10:DC47" si="58">IF(AND($C10=2, $O10="New Construction",NOT($B10="Unrestricted"),NOT($B10="NSP 120% AMI"),NOT($B10="N/A-CS"),NOT($M10="Common")),$E10,"")</f>
        <v>9</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f t="shared" ref="EV10:EV47" si="103">IF(AND($C10=2, NOT(OR($N10="SF Detached",$N10="Mfd Home",$N10="Duplex",$N10="Townhome"))),$E10,"")</f>
        <v>9</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f t="shared" ref="FU10:FU47" si="128">IF(AND($C10=2, $N10="1-Story"),$E10,"")</f>
        <v>9</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35" t="s">
        <v>1791</v>
      </c>
      <c r="C11" s="836">
        <v>2</v>
      </c>
      <c r="D11" s="837">
        <v>2</v>
      </c>
      <c r="E11" s="838">
        <v>51</v>
      </c>
      <c r="F11" s="838">
        <v>1200</v>
      </c>
      <c r="G11" s="838">
        <v>808</v>
      </c>
      <c r="H11" s="838">
        <v>660</v>
      </c>
      <c r="I11" s="838">
        <v>195</v>
      </c>
      <c r="J11" s="839"/>
      <c r="K11" s="227">
        <f t="shared" ref="K11:K27" si="172">MAX(0,H11-I11)</f>
        <v>465</v>
      </c>
      <c r="L11" s="227">
        <f t="shared" si="0"/>
        <v>23715</v>
      </c>
      <c r="M11" s="840" t="s">
        <v>3965</v>
      </c>
      <c r="N11" s="840" t="s">
        <v>3981</v>
      </c>
      <c r="O11" s="840" t="s">
        <v>3436</v>
      </c>
      <c r="P11" s="581">
        <f>IF(H11="","",H11*12/0.3)</f>
        <v>26400</v>
      </c>
      <c r="Q11" s="582">
        <f>IF(H11="","",P11/($P$6*VLOOKUP(C11,'DCA Underwriting Assumptions'!$J$77:$K$82,2,FALSE)))</f>
        <v>0.42947779404587605</v>
      </c>
      <c r="R11" s="739"/>
      <c r="S11" s="659"/>
      <c r="T11" s="113" t="str">
        <f t="shared" si="1"/>
        <v/>
      </c>
      <c r="U11" s="113" t="str">
        <f t="shared" si="2"/>
        <v/>
      </c>
      <c r="V11" s="113">
        <f t="shared" si="3"/>
        <v>51</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f t="shared" si="28"/>
        <v>61200</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51</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51</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f t="shared" si="128"/>
        <v>51</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t="str">
        <f t="shared" si="171"/>
        <v/>
      </c>
      <c r="B12" s="835"/>
      <c r="C12" s="836"/>
      <c r="D12" s="837"/>
      <c r="E12" s="838"/>
      <c r="F12" s="838"/>
      <c r="G12" s="838"/>
      <c r="H12" s="838"/>
      <c r="I12" s="838"/>
      <c r="J12" s="839"/>
      <c r="K12" s="227">
        <f t="shared" si="172"/>
        <v>0</v>
      </c>
      <c r="L12" s="227">
        <f t="shared" si="0"/>
        <v>0</v>
      </c>
      <c r="M12" s="840"/>
      <c r="N12" s="840"/>
      <c r="O12" s="840"/>
      <c r="P12" s="581" t="str">
        <f>IF(H12="","",H12*12/0.3)</f>
        <v/>
      </c>
      <c r="Q12" s="582" t="str">
        <f>IF(H12="","",P12/($P$6*VLOOKUP(C12,'DCA Underwriting Assumptions'!$J$77:$K$82,2,FALSE)))</f>
        <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35"/>
      <c r="C13" s="836"/>
      <c r="D13" s="837"/>
      <c r="E13" s="838"/>
      <c r="F13" s="838"/>
      <c r="G13" s="838"/>
      <c r="H13" s="838"/>
      <c r="I13" s="838"/>
      <c r="J13" s="839"/>
      <c r="K13" s="227">
        <f t="shared" si="172"/>
        <v>0</v>
      </c>
      <c r="L13" s="227">
        <f t="shared" si="0"/>
        <v>0</v>
      </c>
      <c r="M13" s="840"/>
      <c r="N13" s="840"/>
      <c r="O13" s="840"/>
      <c r="P13" s="581" t="str">
        <f>IF(H13="","",H13*12/0.3)</f>
        <v/>
      </c>
      <c r="Q13" s="582" t="str">
        <f>IF(H13="","",P13/($P$6*VLOOKUP(C13,'DCA Underwriting Assumptions'!$J$77:$K$82,2,FALSE)))</f>
        <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35"/>
      <c r="C14" s="836"/>
      <c r="D14" s="837"/>
      <c r="E14" s="838"/>
      <c r="F14" s="838"/>
      <c r="G14" s="838"/>
      <c r="H14" s="838"/>
      <c r="I14" s="838"/>
      <c r="J14" s="839"/>
      <c r="K14" s="227">
        <f t="shared" si="172"/>
        <v>0</v>
      </c>
      <c r="L14" s="227">
        <f t="shared" si="0"/>
        <v>0</v>
      </c>
      <c r="M14" s="840"/>
      <c r="N14" s="840"/>
      <c r="O14" s="840"/>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35"/>
      <c r="C15" s="836"/>
      <c r="D15" s="837"/>
      <c r="E15" s="838"/>
      <c r="F15" s="838"/>
      <c r="G15" s="838"/>
      <c r="H15" s="838"/>
      <c r="I15" s="838"/>
      <c r="J15" s="839"/>
      <c r="K15" s="227">
        <f t="shared" si="172"/>
        <v>0</v>
      </c>
      <c r="L15" s="227">
        <f t="shared" si="0"/>
        <v>0</v>
      </c>
      <c r="M15" s="840"/>
      <c r="N15" s="840"/>
      <c r="O15" s="840"/>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t="str">
        <f t="shared" si="171"/>
        <v/>
      </c>
      <c r="B16" s="835"/>
      <c r="C16" s="836"/>
      <c r="D16" s="837"/>
      <c r="E16" s="838"/>
      <c r="F16" s="838"/>
      <c r="G16" s="838"/>
      <c r="H16" s="838"/>
      <c r="I16" s="838"/>
      <c r="J16" s="839"/>
      <c r="K16" s="227">
        <f t="shared" si="172"/>
        <v>0</v>
      </c>
      <c r="L16" s="227">
        <f t="shared" si="0"/>
        <v>0</v>
      </c>
      <c r="M16" s="840"/>
      <c r="N16" s="840"/>
      <c r="O16" s="840"/>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46" t="str">
        <f t="shared" si="171"/>
        <v/>
      </c>
      <c r="B17" s="835"/>
      <c r="C17" s="836"/>
      <c r="D17" s="837"/>
      <c r="E17" s="838"/>
      <c r="F17" s="838"/>
      <c r="G17" s="838"/>
      <c r="H17" s="838"/>
      <c r="I17" s="838"/>
      <c r="J17" s="839"/>
      <c r="K17" s="227">
        <f t="shared" si="172"/>
        <v>0</v>
      </c>
      <c r="L17" s="227">
        <f t="shared" si="0"/>
        <v>0</v>
      </c>
      <c r="M17" s="840"/>
      <c r="N17" s="840"/>
      <c r="O17" s="840"/>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46" t="str">
        <f t="shared" si="171"/>
        <v/>
      </c>
      <c r="B18" s="835"/>
      <c r="C18" s="836"/>
      <c r="D18" s="837"/>
      <c r="E18" s="838"/>
      <c r="F18" s="838"/>
      <c r="G18" s="838"/>
      <c r="H18" s="838"/>
      <c r="I18" s="838"/>
      <c r="J18" s="839"/>
      <c r="K18" s="227">
        <f t="shared" si="172"/>
        <v>0</v>
      </c>
      <c r="L18" s="227">
        <f t="shared" si="0"/>
        <v>0</v>
      </c>
      <c r="M18" s="840"/>
      <c r="N18" s="840"/>
      <c r="O18" s="840"/>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35"/>
      <c r="C19" s="836"/>
      <c r="D19" s="837"/>
      <c r="E19" s="838"/>
      <c r="F19" s="838"/>
      <c r="G19" s="838"/>
      <c r="H19" s="838"/>
      <c r="I19" s="838"/>
      <c r="J19" s="839"/>
      <c r="K19" s="227">
        <f t="shared" si="172"/>
        <v>0</v>
      </c>
      <c r="L19" s="227">
        <f t="shared" si="0"/>
        <v>0</v>
      </c>
      <c r="M19" s="840"/>
      <c r="N19" s="840"/>
      <c r="O19" s="840"/>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35"/>
      <c r="C20" s="836"/>
      <c r="D20" s="837"/>
      <c r="E20" s="838"/>
      <c r="F20" s="838"/>
      <c r="G20" s="838"/>
      <c r="H20" s="838"/>
      <c r="I20" s="838"/>
      <c r="J20" s="839"/>
      <c r="K20" s="227">
        <f t="shared" si="172"/>
        <v>0</v>
      </c>
      <c r="L20" s="227">
        <f t="shared" si="0"/>
        <v>0</v>
      </c>
      <c r="M20" s="840"/>
      <c r="N20" s="840"/>
      <c r="O20" s="840"/>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35"/>
      <c r="C21" s="836"/>
      <c r="D21" s="837"/>
      <c r="E21" s="838"/>
      <c r="F21" s="838"/>
      <c r="G21" s="838"/>
      <c r="H21" s="838"/>
      <c r="I21" s="838"/>
      <c r="J21" s="839"/>
      <c r="K21" s="227">
        <f t="shared" si="172"/>
        <v>0</v>
      </c>
      <c r="L21" s="227">
        <f t="shared" si="0"/>
        <v>0</v>
      </c>
      <c r="M21" s="840"/>
      <c r="N21" s="840"/>
      <c r="O21" s="840"/>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35"/>
      <c r="C22" s="836"/>
      <c r="D22" s="837"/>
      <c r="E22" s="838"/>
      <c r="F22" s="838"/>
      <c r="G22" s="838"/>
      <c r="H22" s="838"/>
      <c r="I22" s="838"/>
      <c r="J22" s="839"/>
      <c r="K22" s="227">
        <f t="shared" si="172"/>
        <v>0</v>
      </c>
      <c r="L22" s="227">
        <f t="shared" si="0"/>
        <v>0</v>
      </c>
      <c r="M22" s="840"/>
      <c r="N22" s="840"/>
      <c r="O22" s="840"/>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35"/>
      <c r="C23" s="836"/>
      <c r="D23" s="837"/>
      <c r="E23" s="838"/>
      <c r="F23" s="838"/>
      <c r="G23" s="838"/>
      <c r="H23" s="838"/>
      <c r="I23" s="838"/>
      <c r="J23" s="839"/>
      <c r="K23" s="227">
        <f t="shared" si="172"/>
        <v>0</v>
      </c>
      <c r="L23" s="227">
        <f t="shared" si="0"/>
        <v>0</v>
      </c>
      <c r="M23" s="840"/>
      <c r="N23" s="840"/>
      <c r="O23" s="840"/>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35"/>
      <c r="C24" s="836"/>
      <c r="D24" s="837"/>
      <c r="E24" s="838"/>
      <c r="F24" s="838"/>
      <c r="G24" s="838"/>
      <c r="H24" s="838"/>
      <c r="I24" s="838"/>
      <c r="J24" s="839"/>
      <c r="K24" s="227">
        <f t="shared" si="172"/>
        <v>0</v>
      </c>
      <c r="L24" s="227">
        <f t="shared" si="0"/>
        <v>0</v>
      </c>
      <c r="M24" s="840"/>
      <c r="N24" s="840"/>
      <c r="O24" s="840"/>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35"/>
      <c r="C25" s="836"/>
      <c r="D25" s="837"/>
      <c r="E25" s="838"/>
      <c r="F25" s="838"/>
      <c r="G25" s="838"/>
      <c r="H25" s="838"/>
      <c r="I25" s="838"/>
      <c r="J25" s="839"/>
      <c r="K25" s="227">
        <f t="shared" si="172"/>
        <v>0</v>
      </c>
      <c r="L25" s="227">
        <f t="shared" si="0"/>
        <v>0</v>
      </c>
      <c r="M25" s="840"/>
      <c r="N25" s="840"/>
      <c r="O25" s="840"/>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35"/>
      <c r="C26" s="836"/>
      <c r="D26" s="837"/>
      <c r="E26" s="838"/>
      <c r="F26" s="838"/>
      <c r="G26" s="838"/>
      <c r="H26" s="838"/>
      <c r="I26" s="838"/>
      <c r="J26" s="839"/>
      <c r="K26" s="227">
        <f t="shared" si="172"/>
        <v>0</v>
      </c>
      <c r="L26" s="227">
        <f t="shared" si="0"/>
        <v>0</v>
      </c>
      <c r="M26" s="840"/>
      <c r="N26" s="840"/>
      <c r="O26" s="840"/>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35"/>
      <c r="C27" s="836"/>
      <c r="D27" s="837"/>
      <c r="E27" s="838"/>
      <c r="F27" s="838"/>
      <c r="G27" s="838"/>
      <c r="H27" s="838"/>
      <c r="I27" s="838"/>
      <c r="J27" s="839"/>
      <c r="K27" s="227">
        <f t="shared" si="172"/>
        <v>0</v>
      </c>
      <c r="L27" s="227">
        <f t="shared" si="0"/>
        <v>0</v>
      </c>
      <c r="M27" s="840"/>
      <c r="N27" s="840"/>
      <c r="O27" s="840"/>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35"/>
      <c r="C28" s="836"/>
      <c r="D28" s="837"/>
      <c r="E28" s="838"/>
      <c r="F28" s="838"/>
      <c r="G28" s="838"/>
      <c r="H28" s="838"/>
      <c r="I28" s="838"/>
      <c r="J28" s="839"/>
      <c r="K28" s="227">
        <f>MAX(0,H28-I28)</f>
        <v>0</v>
      </c>
      <c r="L28" s="227">
        <f t="shared" si="0"/>
        <v>0</v>
      </c>
      <c r="M28" s="840"/>
      <c r="N28" s="840"/>
      <c r="O28" s="840"/>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35"/>
      <c r="C29" s="836"/>
      <c r="D29" s="837"/>
      <c r="E29" s="838"/>
      <c r="F29" s="838"/>
      <c r="G29" s="838"/>
      <c r="H29" s="838"/>
      <c r="I29" s="838"/>
      <c r="J29" s="839"/>
      <c r="K29" s="227">
        <f t="shared" ref="K29:K47" si="204">MAX(0,H29-I29)</f>
        <v>0</v>
      </c>
      <c r="L29" s="227">
        <f t="shared" si="0"/>
        <v>0</v>
      </c>
      <c r="M29" s="840"/>
      <c r="N29" s="840"/>
      <c r="O29" s="840"/>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35"/>
      <c r="C30" s="836"/>
      <c r="D30" s="837"/>
      <c r="E30" s="838"/>
      <c r="F30" s="838"/>
      <c r="G30" s="838"/>
      <c r="H30" s="838"/>
      <c r="I30" s="838"/>
      <c r="J30" s="839"/>
      <c r="K30" s="227">
        <f t="shared" si="204"/>
        <v>0</v>
      </c>
      <c r="L30" s="227">
        <f t="shared" si="0"/>
        <v>0</v>
      </c>
      <c r="M30" s="840"/>
      <c r="N30" s="840"/>
      <c r="O30" s="840"/>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35"/>
      <c r="C31" s="836"/>
      <c r="D31" s="837"/>
      <c r="E31" s="838"/>
      <c r="F31" s="838"/>
      <c r="G31" s="838"/>
      <c r="H31" s="838"/>
      <c r="I31" s="838"/>
      <c r="J31" s="839"/>
      <c r="K31" s="227">
        <f t="shared" si="204"/>
        <v>0</v>
      </c>
      <c r="L31" s="227">
        <f t="shared" si="0"/>
        <v>0</v>
      </c>
      <c r="M31" s="840"/>
      <c r="N31" s="840"/>
      <c r="O31" s="840"/>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35"/>
      <c r="C32" s="836"/>
      <c r="D32" s="837"/>
      <c r="E32" s="838"/>
      <c r="F32" s="838"/>
      <c r="G32" s="838"/>
      <c r="H32" s="838"/>
      <c r="I32" s="838"/>
      <c r="J32" s="839"/>
      <c r="K32" s="227">
        <f t="shared" si="204"/>
        <v>0</v>
      </c>
      <c r="L32" s="227">
        <f t="shared" si="0"/>
        <v>0</v>
      </c>
      <c r="M32" s="840"/>
      <c r="N32" s="840"/>
      <c r="O32" s="840"/>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35"/>
      <c r="C33" s="836"/>
      <c r="D33" s="837"/>
      <c r="E33" s="838"/>
      <c r="F33" s="838"/>
      <c r="G33" s="838"/>
      <c r="H33" s="838"/>
      <c r="I33" s="838"/>
      <c r="J33" s="839"/>
      <c r="K33" s="227">
        <f t="shared" si="204"/>
        <v>0</v>
      </c>
      <c r="L33" s="227">
        <f t="shared" si="0"/>
        <v>0</v>
      </c>
      <c r="M33" s="840"/>
      <c r="N33" s="840"/>
      <c r="O33" s="840"/>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35"/>
      <c r="C34" s="836"/>
      <c r="D34" s="837"/>
      <c r="E34" s="838"/>
      <c r="F34" s="838"/>
      <c r="G34" s="838"/>
      <c r="H34" s="838"/>
      <c r="I34" s="838"/>
      <c r="J34" s="839"/>
      <c r="K34" s="227">
        <f t="shared" si="204"/>
        <v>0</v>
      </c>
      <c r="L34" s="227">
        <f t="shared" si="0"/>
        <v>0</v>
      </c>
      <c r="M34" s="840"/>
      <c r="N34" s="840"/>
      <c r="O34" s="840"/>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35"/>
      <c r="C35" s="836"/>
      <c r="D35" s="837"/>
      <c r="E35" s="838"/>
      <c r="F35" s="838"/>
      <c r="G35" s="838"/>
      <c r="H35" s="838"/>
      <c r="I35" s="838"/>
      <c r="J35" s="839"/>
      <c r="K35" s="227">
        <f t="shared" si="204"/>
        <v>0</v>
      </c>
      <c r="L35" s="227">
        <f t="shared" si="0"/>
        <v>0</v>
      </c>
      <c r="M35" s="840"/>
      <c r="N35" s="840"/>
      <c r="O35" s="840"/>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35"/>
      <c r="C36" s="836"/>
      <c r="D36" s="837"/>
      <c r="E36" s="838"/>
      <c r="F36" s="838"/>
      <c r="G36" s="838"/>
      <c r="H36" s="838"/>
      <c r="I36" s="838"/>
      <c r="J36" s="839"/>
      <c r="K36" s="227">
        <f t="shared" si="204"/>
        <v>0</v>
      </c>
      <c r="L36" s="227">
        <f t="shared" si="0"/>
        <v>0</v>
      </c>
      <c r="M36" s="840"/>
      <c r="N36" s="840"/>
      <c r="O36" s="840"/>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35"/>
      <c r="C37" s="836"/>
      <c r="D37" s="837"/>
      <c r="E37" s="838"/>
      <c r="F37" s="838"/>
      <c r="G37" s="838"/>
      <c r="H37" s="838"/>
      <c r="I37" s="838"/>
      <c r="J37" s="839"/>
      <c r="K37" s="227">
        <f t="shared" si="204"/>
        <v>0</v>
      </c>
      <c r="L37" s="227">
        <f t="shared" si="0"/>
        <v>0</v>
      </c>
      <c r="M37" s="840"/>
      <c r="N37" s="840"/>
      <c r="O37" s="840"/>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35"/>
      <c r="C38" s="836"/>
      <c r="D38" s="837"/>
      <c r="E38" s="838"/>
      <c r="F38" s="838"/>
      <c r="G38" s="838"/>
      <c r="H38" s="838"/>
      <c r="I38" s="838"/>
      <c r="J38" s="839"/>
      <c r="K38" s="227">
        <f>MAX(0,H38-I38)</f>
        <v>0</v>
      </c>
      <c r="L38" s="227">
        <f t="shared" si="0"/>
        <v>0</v>
      </c>
      <c r="M38" s="840"/>
      <c r="N38" s="840"/>
      <c r="O38" s="840"/>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35"/>
      <c r="C39" s="836"/>
      <c r="D39" s="837"/>
      <c r="E39" s="838"/>
      <c r="F39" s="838"/>
      <c r="G39" s="838"/>
      <c r="H39" s="838"/>
      <c r="I39" s="838"/>
      <c r="J39" s="839"/>
      <c r="K39" s="227">
        <f t="shared" ref="K39:K46" si="205">MAX(0,H39-I39)</f>
        <v>0</v>
      </c>
      <c r="L39" s="227">
        <f t="shared" si="0"/>
        <v>0</v>
      </c>
      <c r="M39" s="840"/>
      <c r="N39" s="840"/>
      <c r="O39" s="840"/>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35"/>
      <c r="C40" s="836"/>
      <c r="D40" s="837"/>
      <c r="E40" s="838"/>
      <c r="F40" s="838"/>
      <c r="G40" s="838"/>
      <c r="H40" s="838"/>
      <c r="I40" s="838"/>
      <c r="J40" s="839"/>
      <c r="K40" s="227">
        <f t="shared" si="205"/>
        <v>0</v>
      </c>
      <c r="L40" s="227">
        <f t="shared" si="0"/>
        <v>0</v>
      </c>
      <c r="M40" s="840"/>
      <c r="N40" s="840"/>
      <c r="O40" s="840"/>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35"/>
      <c r="C41" s="836"/>
      <c r="D41" s="837"/>
      <c r="E41" s="838"/>
      <c r="F41" s="838"/>
      <c r="G41" s="838"/>
      <c r="H41" s="838"/>
      <c r="I41" s="838"/>
      <c r="J41" s="839"/>
      <c r="K41" s="227">
        <f t="shared" si="205"/>
        <v>0</v>
      </c>
      <c r="L41" s="227">
        <f t="shared" si="0"/>
        <v>0</v>
      </c>
      <c r="M41" s="840"/>
      <c r="N41" s="840"/>
      <c r="O41" s="840"/>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35"/>
      <c r="C42" s="836"/>
      <c r="D42" s="837"/>
      <c r="E42" s="838"/>
      <c r="F42" s="838"/>
      <c r="G42" s="838"/>
      <c r="H42" s="838"/>
      <c r="I42" s="838"/>
      <c r="J42" s="839"/>
      <c r="K42" s="227">
        <f t="shared" si="205"/>
        <v>0</v>
      </c>
      <c r="L42" s="227">
        <f t="shared" si="0"/>
        <v>0</v>
      </c>
      <c r="M42" s="840"/>
      <c r="N42" s="840"/>
      <c r="O42" s="840"/>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35"/>
      <c r="C43" s="836"/>
      <c r="D43" s="837"/>
      <c r="E43" s="838"/>
      <c r="F43" s="838"/>
      <c r="G43" s="838"/>
      <c r="H43" s="838"/>
      <c r="I43" s="838"/>
      <c r="J43" s="839"/>
      <c r="K43" s="227">
        <f t="shared" si="205"/>
        <v>0</v>
      </c>
      <c r="L43" s="227">
        <f t="shared" si="0"/>
        <v>0</v>
      </c>
      <c r="M43" s="840"/>
      <c r="N43" s="840"/>
      <c r="O43" s="840"/>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35"/>
      <c r="C44" s="836"/>
      <c r="D44" s="837"/>
      <c r="E44" s="838"/>
      <c r="F44" s="838"/>
      <c r="G44" s="838"/>
      <c r="H44" s="838"/>
      <c r="I44" s="838"/>
      <c r="J44" s="839"/>
      <c r="K44" s="227">
        <f t="shared" si="205"/>
        <v>0</v>
      </c>
      <c r="L44" s="227">
        <f t="shared" si="0"/>
        <v>0</v>
      </c>
      <c r="M44" s="840"/>
      <c r="N44" s="840"/>
      <c r="O44" s="840"/>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2" customHeight="1">
      <c r="A45" s="146" t="str">
        <f t="shared" si="171"/>
        <v/>
      </c>
      <c r="B45" s="835"/>
      <c r="C45" s="836"/>
      <c r="D45" s="837"/>
      <c r="E45" s="838"/>
      <c r="F45" s="838"/>
      <c r="G45" s="838"/>
      <c r="H45" s="838"/>
      <c r="I45" s="838"/>
      <c r="J45" s="839"/>
      <c r="K45" s="227">
        <f t="shared" si="205"/>
        <v>0</v>
      </c>
      <c r="L45" s="227">
        <f t="shared" si="0"/>
        <v>0</v>
      </c>
      <c r="M45" s="840"/>
      <c r="N45" s="840"/>
      <c r="O45" s="840"/>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46" t="str">
        <f t="shared" si="171"/>
        <v/>
      </c>
      <c r="B46" s="835"/>
      <c r="C46" s="836"/>
      <c r="D46" s="837"/>
      <c r="E46" s="838"/>
      <c r="F46" s="838"/>
      <c r="G46" s="838"/>
      <c r="H46" s="838"/>
      <c r="I46" s="838"/>
      <c r="J46" s="839"/>
      <c r="K46" s="227">
        <f t="shared" si="205"/>
        <v>0</v>
      </c>
      <c r="L46" s="227">
        <f t="shared" si="0"/>
        <v>0</v>
      </c>
      <c r="M46" s="840"/>
      <c r="N46" s="840"/>
      <c r="O46" s="840"/>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1"/>
      <c r="C47" s="842"/>
      <c r="D47" s="843"/>
      <c r="E47" s="844"/>
      <c r="F47" s="844"/>
      <c r="G47" s="844"/>
      <c r="H47" s="844"/>
      <c r="I47" s="844"/>
      <c r="J47" s="845"/>
      <c r="K47" s="228">
        <f t="shared" si="204"/>
        <v>0</v>
      </c>
      <c r="L47" s="228">
        <f t="shared" si="0"/>
        <v>0</v>
      </c>
      <c r="M47" s="846"/>
      <c r="N47" s="846"/>
      <c r="O47" s="846"/>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0</v>
      </c>
      <c r="B48" s="97"/>
      <c r="C48" s="2"/>
      <c r="D48" s="17" t="s">
        <v>1634</v>
      </c>
      <c r="E48" s="170">
        <f>SUM(E10:E47)</f>
        <v>60</v>
      </c>
      <c r="F48" s="171">
        <f>(E10*F10+E11*F11+E12*F12+E13*F13+E14*F14+E15*F15+E16*F16+E17*F17+E18*F18+E19*F19+E20*F20+E21*F21+E22*F22+E23*F23+E24*F24+E25*F25+E26*F26+E27*F27+E28*F28+E29*F29+E30*F30+E31*F31+E32*F32+E33*F33+E34*F34+E35*F35+E36*F36+E37*F37+E38*F38+E39*F39+E40*F40+E41*F41+E42*F42+E43*F43+E44*F44+E45*F45+E46*F46+E47*F47)</f>
        <v>72000</v>
      </c>
      <c r="G48" s="162"/>
      <c r="H48" s="163"/>
      <c r="I48" s="163"/>
      <c r="J48" s="163"/>
      <c r="K48" s="15" t="s">
        <v>2002</v>
      </c>
      <c r="L48" s="169">
        <f>SUM(L10:L47)</f>
        <v>27900</v>
      </c>
      <c r="M48" s="2"/>
      <c r="N48" s="42"/>
      <c r="O48" s="2"/>
      <c r="P48" s="122"/>
      <c r="Q48" s="122"/>
      <c r="R48" s="739"/>
      <c r="S48" s="446"/>
      <c r="T48" s="446">
        <f t="shared" ref="T48:CI48" si="206">SUM(T10:T47)</f>
        <v>0</v>
      </c>
      <c r="U48" s="446">
        <f t="shared" si="206"/>
        <v>0</v>
      </c>
      <c r="V48" s="446">
        <f t="shared" si="206"/>
        <v>51</v>
      </c>
      <c r="W48" s="446">
        <f t="shared" si="206"/>
        <v>0</v>
      </c>
      <c r="X48" s="446">
        <f t="shared" si="206"/>
        <v>0</v>
      </c>
      <c r="Y48" s="446">
        <f t="shared" si="206"/>
        <v>0</v>
      </c>
      <c r="Z48" s="446">
        <f t="shared" si="206"/>
        <v>0</v>
      </c>
      <c r="AA48" s="446">
        <f t="shared" si="206"/>
        <v>9</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61200</v>
      </c>
      <c r="BZ48" s="446">
        <f t="shared" si="206"/>
        <v>0</v>
      </c>
      <c r="CA48" s="446">
        <f t="shared" si="206"/>
        <v>0</v>
      </c>
      <c r="CB48" s="446">
        <f t="shared" si="206"/>
        <v>0</v>
      </c>
      <c r="CC48" s="446">
        <f t="shared" si="206"/>
        <v>0</v>
      </c>
      <c r="CD48" s="446">
        <f t="shared" si="206"/>
        <v>10800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60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60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60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1396</v>
      </c>
      <c r="L49" s="169">
        <f>L48*12</f>
        <v>334800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70" t="s">
        <v>3649</v>
      </c>
      <c r="B51" s="911"/>
      <c r="C51" s="911"/>
      <c r="D51" s="911"/>
      <c r="E51" s="911"/>
      <c r="F51" s="911"/>
      <c r="G51" s="911"/>
      <c r="H51" s="911"/>
      <c r="I51" s="911"/>
      <c r="J51" s="911"/>
      <c r="K51" s="911"/>
      <c r="L51" s="911"/>
      <c r="M51" s="911"/>
      <c r="N51" s="911"/>
      <c r="O51" s="911"/>
      <c r="P51" s="911"/>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11"/>
      <c r="B52" s="911"/>
      <c r="C52" s="911"/>
      <c r="D52" s="911"/>
      <c r="E52" s="911"/>
      <c r="F52" s="911"/>
      <c r="G52" s="911"/>
      <c r="H52" s="911"/>
      <c r="I52" s="911"/>
      <c r="J52" s="911"/>
      <c r="K52" s="911"/>
      <c r="L52" s="911"/>
      <c r="M52" s="911"/>
      <c r="N52" s="911"/>
      <c r="O52" s="911"/>
      <c r="P52" s="911"/>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1229</v>
      </c>
      <c r="B54" s="16" t="s">
        <v>827</v>
      </c>
      <c r="O54" s="113"/>
      <c r="Q54" s="1357"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1358"/>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1776</v>
      </c>
      <c r="H56" s="164" t="s">
        <v>865</v>
      </c>
      <c r="I56" s="164" t="s">
        <v>828</v>
      </c>
      <c r="J56" s="164" t="s">
        <v>829</v>
      </c>
      <c r="K56" s="164" t="s">
        <v>830</v>
      </c>
      <c r="L56" s="164" t="s">
        <v>831</v>
      </c>
      <c r="M56" s="164" t="s">
        <v>832</v>
      </c>
      <c r="O56" s="113"/>
      <c r="Q56" s="1358"/>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0</v>
      </c>
      <c r="J57" s="381">
        <f>V48</f>
        <v>51</v>
      </c>
      <c r="K57" s="381">
        <f>W48</f>
        <v>0</v>
      </c>
      <c r="L57" s="381">
        <f>X48</f>
        <v>0</v>
      </c>
      <c r="M57" s="381">
        <f t="shared" ref="M57:M63" si="211">SUM(H57:L57)</f>
        <v>51</v>
      </c>
      <c r="N57" s="1361" t="s">
        <v>1483</v>
      </c>
      <c r="O57" s="1362"/>
      <c r="P57" s="737"/>
      <c r="Q57" s="680">
        <f t="shared" ref="Q57:Q63" si="212">ABS(M57-AD57)</f>
        <v>0</v>
      </c>
      <c r="S57" s="207"/>
      <c r="T57" s="447" t="s">
        <v>1778</v>
      </c>
      <c r="U57" s="447"/>
      <c r="V57" s="447"/>
      <c r="W57" s="447"/>
      <c r="X57" s="448" t="s">
        <v>1791</v>
      </c>
      <c r="Y57" s="449">
        <f>T48</f>
        <v>0</v>
      </c>
      <c r="Z57" s="449">
        <f>U48</f>
        <v>0</v>
      </c>
      <c r="AA57" s="449">
        <f>V48</f>
        <v>51</v>
      </c>
      <c r="AB57" s="449">
        <f>W48</f>
        <v>0</v>
      </c>
      <c r="AC57" s="449">
        <f>X48</f>
        <v>0</v>
      </c>
      <c r="AD57" s="449">
        <f t="shared" ref="AD57:AD63" si="213">SUM(Y57:AC57)</f>
        <v>51</v>
      </c>
      <c r="AE57" s="448" t="s">
        <v>1555</v>
      </c>
      <c r="AF57" s="122"/>
      <c r="GU57" s="172"/>
      <c r="HJ57" s="113"/>
    </row>
    <row r="58" spans="1:221" ht="15" customHeight="1">
      <c r="A58" s="1330" t="s">
        <v>652</v>
      </c>
      <c r="B58" s="1330"/>
      <c r="C58" s="5"/>
      <c r="D58" s="2"/>
      <c r="E58" s="2"/>
      <c r="F58" s="2"/>
      <c r="G58" s="46" t="s">
        <v>133</v>
      </c>
      <c r="H58" s="382">
        <f>Y48</f>
        <v>0</v>
      </c>
      <c r="I58" s="382">
        <f>Z48</f>
        <v>0</v>
      </c>
      <c r="J58" s="382">
        <f>AA48</f>
        <v>9</v>
      </c>
      <c r="K58" s="382">
        <f>AB48</f>
        <v>0</v>
      </c>
      <c r="L58" s="382">
        <f>AC48</f>
        <v>0</v>
      </c>
      <c r="M58" s="382">
        <f t="shared" si="211"/>
        <v>9</v>
      </c>
      <c r="N58" s="1361"/>
      <c r="O58" s="1362"/>
      <c r="P58" s="737"/>
      <c r="Q58" s="680">
        <f t="shared" si="212"/>
        <v>0</v>
      </c>
      <c r="S58" s="207"/>
      <c r="T58" s="231"/>
      <c r="U58" s="447"/>
      <c r="V58" s="447"/>
      <c r="W58" s="447"/>
      <c r="X58" s="448" t="s">
        <v>133</v>
      </c>
      <c r="Y58" s="449">
        <f>Y48</f>
        <v>0</v>
      </c>
      <c r="Z58" s="449">
        <f>Z48</f>
        <v>0</v>
      </c>
      <c r="AA58" s="449">
        <f>AA48</f>
        <v>9</v>
      </c>
      <c r="AB58" s="449">
        <f>AB48</f>
        <v>0</v>
      </c>
      <c r="AC58" s="449">
        <f>AC48</f>
        <v>0</v>
      </c>
      <c r="AD58" s="449">
        <f t="shared" si="213"/>
        <v>9</v>
      </c>
      <c r="AE58" s="448"/>
      <c r="AF58" s="122"/>
      <c r="GU58" s="172"/>
      <c r="HJ58" s="113"/>
    </row>
    <row r="59" spans="1:221" ht="15" customHeight="1">
      <c r="A59" s="1330"/>
      <c r="B59" s="1330"/>
      <c r="C59" s="5"/>
      <c r="D59" s="2"/>
      <c r="E59" s="2"/>
      <c r="F59" s="2"/>
      <c r="G59" s="46" t="s">
        <v>832</v>
      </c>
      <c r="H59" s="383">
        <f>SUM(H57:H58)</f>
        <v>0</v>
      </c>
      <c r="I59" s="383">
        <f>SUM(I57:I58)</f>
        <v>0</v>
      </c>
      <c r="J59" s="383">
        <f>SUM(J57:J58)</f>
        <v>60</v>
      </c>
      <c r="K59" s="383">
        <f>SUM(K57:K58)</f>
        <v>0</v>
      </c>
      <c r="L59" s="383">
        <f>SUM(L57:L58)</f>
        <v>0</v>
      </c>
      <c r="M59" s="383">
        <f t="shared" si="211"/>
        <v>60</v>
      </c>
      <c r="N59" s="386"/>
      <c r="O59" s="113"/>
      <c r="Q59" s="680">
        <f t="shared" si="212"/>
        <v>0</v>
      </c>
      <c r="S59" s="207"/>
      <c r="T59" s="231"/>
      <c r="U59" s="447"/>
      <c r="V59" s="447"/>
      <c r="W59" s="447"/>
      <c r="X59" s="448" t="s">
        <v>832</v>
      </c>
      <c r="Y59" s="449">
        <f>SUM(Y57:Y58)</f>
        <v>0</v>
      </c>
      <c r="Z59" s="449">
        <f>SUM(Z57:Z58)</f>
        <v>0</v>
      </c>
      <c r="AA59" s="449">
        <f>SUM(AA57:AA58)</f>
        <v>60</v>
      </c>
      <c r="AB59" s="449">
        <f>SUM(AB57:AB58)</f>
        <v>0</v>
      </c>
      <c r="AC59" s="449">
        <f>SUM(AC57:AC58)</f>
        <v>0</v>
      </c>
      <c r="AD59" s="449">
        <f t="shared" si="213"/>
        <v>60</v>
      </c>
      <c r="AE59" s="448"/>
      <c r="AF59" s="122"/>
      <c r="GU59" s="172"/>
      <c r="HJ59" s="113"/>
    </row>
    <row r="60" spans="1:221" ht="15" customHeight="1">
      <c r="A60" s="1330"/>
      <c r="B60" s="1330"/>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30"/>
      <c r="B61" s="1330"/>
      <c r="C61" s="2" t="s">
        <v>1779</v>
      </c>
      <c r="D61" s="2"/>
      <c r="E61" s="2"/>
      <c r="F61" s="2"/>
      <c r="G61" s="46"/>
      <c r="H61" s="383">
        <f>SUM(H59:H60)</f>
        <v>0</v>
      </c>
      <c r="I61" s="383">
        <f>SUM(I59:I60)</f>
        <v>0</v>
      </c>
      <c r="J61" s="383">
        <f>SUM(J59:J60)</f>
        <v>60</v>
      </c>
      <c r="K61" s="383">
        <f>SUM(K59:K60)</f>
        <v>0</v>
      </c>
      <c r="L61" s="383">
        <f>SUM(L59:L60)</f>
        <v>0</v>
      </c>
      <c r="M61" s="383">
        <f t="shared" si="211"/>
        <v>60</v>
      </c>
      <c r="N61" s="68"/>
      <c r="O61" s="113"/>
      <c r="Q61" s="680">
        <f t="shared" si="212"/>
        <v>0</v>
      </c>
      <c r="S61" s="207"/>
      <c r="T61" s="447" t="s">
        <v>1779</v>
      </c>
      <c r="U61" s="447"/>
      <c r="V61" s="447"/>
      <c r="W61" s="447"/>
      <c r="X61" s="448"/>
      <c r="Y61" s="449">
        <f>SUM(Y59:Y60)</f>
        <v>0</v>
      </c>
      <c r="Z61" s="449">
        <f>SUM(Z59:Z60)</f>
        <v>0</v>
      </c>
      <c r="AA61" s="449">
        <f>SUM(AA59:AA60)</f>
        <v>60</v>
      </c>
      <c r="AB61" s="449">
        <f>SUM(AB59:AB60)</f>
        <v>0</v>
      </c>
      <c r="AC61" s="449">
        <f>SUM(AC59:AC60)</f>
        <v>0</v>
      </c>
      <c r="AD61" s="449">
        <f t="shared" si="213"/>
        <v>60</v>
      </c>
      <c r="AE61" s="450"/>
      <c r="AF61" s="122"/>
      <c r="GU61" s="172"/>
      <c r="HJ61" s="113"/>
    </row>
    <row r="62" spans="1:221" ht="15" customHeight="1">
      <c r="A62" s="1330"/>
      <c r="B62" s="1330"/>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1330"/>
      <c r="B63" s="1330"/>
      <c r="C63" s="2" t="s">
        <v>832</v>
      </c>
      <c r="D63" s="2"/>
      <c r="E63" s="2"/>
      <c r="F63" s="2"/>
      <c r="G63" s="46"/>
      <c r="H63" s="383">
        <f>SUM(H61:H62)</f>
        <v>0</v>
      </c>
      <c r="I63" s="383">
        <f>SUM(I61:I62)</f>
        <v>0</v>
      </c>
      <c r="J63" s="383">
        <f>SUM(J61:J62)</f>
        <v>60</v>
      </c>
      <c r="K63" s="383">
        <f>SUM(K61:K62)</f>
        <v>0</v>
      </c>
      <c r="L63" s="383">
        <f>SUM(L61:L62)</f>
        <v>0</v>
      </c>
      <c r="M63" s="383">
        <f t="shared" si="211"/>
        <v>60</v>
      </c>
      <c r="O63" s="113"/>
      <c r="Q63" s="680">
        <f t="shared" si="212"/>
        <v>0</v>
      </c>
      <c r="S63" s="207"/>
      <c r="T63" s="447" t="s">
        <v>832</v>
      </c>
      <c r="U63" s="447"/>
      <c r="V63" s="447"/>
      <c r="W63" s="447"/>
      <c r="X63" s="448"/>
      <c r="Y63" s="449">
        <f>SUM(Y61:Y62)</f>
        <v>0</v>
      </c>
      <c r="Z63" s="449">
        <f>SUM(Z61:Z62)</f>
        <v>0</v>
      </c>
      <c r="AA63" s="449">
        <f>SUM(AA61:AA62)</f>
        <v>60</v>
      </c>
      <c r="AB63" s="449">
        <f>SUM(AB61:AB62)</f>
        <v>0</v>
      </c>
      <c r="AC63" s="449">
        <f>SUM(AC61:AC62)</f>
        <v>0</v>
      </c>
      <c r="AD63" s="449">
        <f t="shared" si="213"/>
        <v>60</v>
      </c>
      <c r="AE63" s="207"/>
      <c r="AF63" s="122"/>
      <c r="GU63" s="172"/>
      <c r="HJ63" s="113"/>
    </row>
    <row r="64" spans="1:221" ht="14.4" customHeight="1">
      <c r="A64" s="1330"/>
      <c r="B64" s="1330"/>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30"/>
      <c r="B65" s="1330"/>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1330"/>
      <c r="B66" s="1330"/>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1330"/>
      <c r="B67" s="1330"/>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 customHeight="1">
      <c r="A68" s="1330"/>
      <c r="B68" s="1330"/>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30"/>
      <c r="B69" s="1330"/>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1330"/>
      <c r="B70" s="1330"/>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1330"/>
      <c r="B71" s="1330"/>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330"/>
      <c r="B72" s="1330"/>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1330"/>
      <c r="B73" s="1330"/>
      <c r="C73" s="2"/>
      <c r="D73" s="2"/>
      <c r="E73" s="140" t="s">
        <v>3436</v>
      </c>
      <c r="F73" s="2"/>
      <c r="G73" s="46" t="s">
        <v>2154</v>
      </c>
      <c r="H73" s="381">
        <f>DA48</f>
        <v>0</v>
      </c>
      <c r="I73" s="381">
        <f>DB48</f>
        <v>0</v>
      </c>
      <c r="J73" s="381">
        <f>DC48</f>
        <v>60</v>
      </c>
      <c r="K73" s="381">
        <f>DD48</f>
        <v>0</v>
      </c>
      <c r="L73" s="381">
        <f>DE48</f>
        <v>0</v>
      </c>
      <c r="M73" s="381">
        <f t="shared" ref="M73:M83" si="214">SUM(H73:L73)</f>
        <v>60</v>
      </c>
      <c r="N73" s="31"/>
      <c r="O73" s="113"/>
      <c r="Q73" s="680">
        <f t="shared" ref="Q73:Q81" si="215">ABS(M73-AD73)</f>
        <v>0</v>
      </c>
      <c r="S73" s="207"/>
      <c r="T73" s="447"/>
      <c r="U73" s="447"/>
      <c r="V73" s="451" t="s">
        <v>3436</v>
      </c>
      <c r="W73" s="447"/>
      <c r="X73" s="448" t="s">
        <v>2154</v>
      </c>
      <c r="Y73" s="449">
        <f>DA48</f>
        <v>0</v>
      </c>
      <c r="Z73" s="449">
        <f>DB48</f>
        <v>0</v>
      </c>
      <c r="AA73" s="449">
        <f>DC48</f>
        <v>60</v>
      </c>
      <c r="AB73" s="449">
        <f>DD48</f>
        <v>0</v>
      </c>
      <c r="AC73" s="449">
        <f>DE48</f>
        <v>0</v>
      </c>
      <c r="AD73" s="449">
        <f t="shared" ref="AD73:AD81" si="216">SUM(Y73:AC73)</f>
        <v>60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30"/>
      <c r="B74" s="1330"/>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1330"/>
      <c r="B75" s="1330"/>
      <c r="C75" s="5"/>
      <c r="D75" s="2"/>
      <c r="E75" s="147"/>
      <c r="F75" s="2"/>
      <c r="G75" s="46" t="s">
        <v>34</v>
      </c>
      <c r="H75" s="383">
        <f>SUM(H73:H74)+DK48</f>
        <v>0</v>
      </c>
      <c r="I75" s="383">
        <f>SUM(I73:I74)+DL48</f>
        <v>0</v>
      </c>
      <c r="J75" s="383">
        <f>SUM(J73:J74)+DM48</f>
        <v>60</v>
      </c>
      <c r="K75" s="383">
        <f>SUM(K73:K74)+DN48</f>
        <v>0</v>
      </c>
      <c r="L75" s="383">
        <f>SUM(L73:L74)+DO48</f>
        <v>0</v>
      </c>
      <c r="M75" s="383">
        <f t="shared" si="214"/>
        <v>60</v>
      </c>
      <c r="N75" s="65"/>
      <c r="O75" s="113"/>
      <c r="Q75" s="680">
        <f t="shared" si="215"/>
        <v>0</v>
      </c>
      <c r="S75" s="207"/>
      <c r="T75" s="231"/>
      <c r="U75" s="447"/>
      <c r="V75" s="451"/>
      <c r="W75" s="447"/>
      <c r="X75" s="681" t="s">
        <v>34</v>
      </c>
      <c r="Y75" s="449">
        <f>SUM(Y73:Y74)+DK48</f>
        <v>0</v>
      </c>
      <c r="Z75" s="449">
        <f>SUM(Z73:Z74)+DL48</f>
        <v>0</v>
      </c>
      <c r="AA75" s="449">
        <f>SUM(AA73:AA74)+DM48</f>
        <v>60</v>
      </c>
      <c r="AB75" s="449">
        <f>SUM(AB73:AB74)+DN48</f>
        <v>0</v>
      </c>
      <c r="AC75" s="449">
        <f>SUM(AC73:AC74)+DO48</f>
        <v>0</v>
      </c>
      <c r="AD75" s="449">
        <f t="shared" si="216"/>
        <v>60</v>
      </c>
      <c r="AE75" s="448"/>
      <c r="AF75" s="122"/>
      <c r="GU75" s="172"/>
      <c r="HJ75" s="113"/>
    </row>
    <row r="76" spans="1:218" ht="15" customHeight="1">
      <c r="A76" s="1330"/>
      <c r="B76" s="1330"/>
      <c r="C76" s="2"/>
      <c r="D76" s="2"/>
      <c r="E76" s="140" t="s">
        <v>3238</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65" t="s">
        <v>2131</v>
      </c>
      <c r="F79" s="1365"/>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5"/>
      <c r="F80" s="1365"/>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847"/>
      <c r="I82" s="847"/>
      <c r="J82" s="847"/>
      <c r="K82" s="847"/>
      <c r="L82" s="847"/>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848"/>
      <c r="I83" s="848"/>
      <c r="J83" s="848"/>
      <c r="K83" s="848"/>
      <c r="L83" s="848"/>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60</v>
      </c>
      <c r="K85" s="381">
        <f>EW48</f>
        <v>0</v>
      </c>
      <c r="L85" s="381">
        <f>EX48</f>
        <v>0</v>
      </c>
      <c r="M85" s="381">
        <f>SUM(H85:L85)</f>
        <v>60</v>
      </c>
      <c r="N85" s="31"/>
      <c r="O85" s="113"/>
      <c r="Q85" s="680">
        <f>ABS(M85-AD85)</f>
        <v>0</v>
      </c>
      <c r="S85" s="207"/>
      <c r="T85" s="122"/>
      <c r="U85" s="122"/>
      <c r="V85" s="451" t="s">
        <v>46</v>
      </c>
      <c r="W85" s="122"/>
      <c r="X85" s="448"/>
      <c r="Y85" s="449">
        <f>ET48</f>
        <v>0</v>
      </c>
      <c r="Z85" s="449">
        <f>EU48</f>
        <v>0</v>
      </c>
      <c r="AA85" s="449">
        <f>EV48</f>
        <v>60</v>
      </c>
      <c r="AB85" s="449">
        <f>EW48</f>
        <v>0</v>
      </c>
      <c r="AC85" s="449">
        <f>EX48</f>
        <v>0</v>
      </c>
      <c r="AD85" s="449">
        <f>SUM(Y85:AC85)</f>
        <v>60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3270</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1791</v>
      </c>
      <c r="H92" s="223">
        <f>BW48</f>
        <v>0</v>
      </c>
      <c r="I92" s="223">
        <f>BX48</f>
        <v>0</v>
      </c>
      <c r="J92" s="223">
        <f>BY48</f>
        <v>61200</v>
      </c>
      <c r="K92" s="223">
        <f>BZ48</f>
        <v>0</v>
      </c>
      <c r="L92" s="223">
        <f>CA48</f>
        <v>0</v>
      </c>
      <c r="M92" s="223">
        <f t="shared" ref="M92:M98" si="217">SUM(H92:L92)</f>
        <v>61200</v>
      </c>
      <c r="O92" s="113"/>
      <c r="Q92" s="680">
        <f t="shared" ref="Q92:Q98" si="218">ABS(M92-AD92)</f>
        <v>0</v>
      </c>
      <c r="S92" s="207"/>
      <c r="T92" s="447" t="s">
        <v>3237</v>
      </c>
      <c r="U92" s="447"/>
      <c r="V92" s="447"/>
      <c r="W92" s="447"/>
      <c r="X92" s="448" t="s">
        <v>1791</v>
      </c>
      <c r="Y92" s="449">
        <f>BW48</f>
        <v>0</v>
      </c>
      <c r="Z92" s="449">
        <f>BX48</f>
        <v>0</v>
      </c>
      <c r="AA92" s="449">
        <f>BY48</f>
        <v>61200</v>
      </c>
      <c r="AB92" s="449">
        <f>BZ48</f>
        <v>0</v>
      </c>
      <c r="AC92" s="449">
        <f>CA48</f>
        <v>0</v>
      </c>
      <c r="AD92" s="449">
        <f t="shared" ref="AD92:AD98" si="219">SUM(Y92:AC92)</f>
        <v>61200</v>
      </c>
      <c r="AE92" s="207"/>
      <c r="AF92" s="122"/>
      <c r="GU92" s="172"/>
      <c r="HJ92" s="113"/>
    </row>
    <row r="93" spans="1:218" ht="15" customHeight="1">
      <c r="C93" s="5"/>
      <c r="D93" s="2"/>
      <c r="E93" s="2"/>
      <c r="F93" s="2"/>
      <c r="G93" s="46" t="s">
        <v>133</v>
      </c>
      <c r="H93" s="225">
        <f>CB48</f>
        <v>0</v>
      </c>
      <c r="I93" s="225">
        <f>CC48</f>
        <v>0</v>
      </c>
      <c r="J93" s="225">
        <f>CD48</f>
        <v>10800</v>
      </c>
      <c r="K93" s="225">
        <f>CE48</f>
        <v>0</v>
      </c>
      <c r="L93" s="225">
        <f>CF48</f>
        <v>0</v>
      </c>
      <c r="M93" s="225">
        <f t="shared" si="217"/>
        <v>10800</v>
      </c>
      <c r="N93" s="6"/>
      <c r="O93" s="113"/>
      <c r="Q93" s="680">
        <f t="shared" si="218"/>
        <v>0</v>
      </c>
      <c r="S93" s="207"/>
      <c r="T93" s="231"/>
      <c r="U93" s="447"/>
      <c r="V93" s="447"/>
      <c r="W93" s="447"/>
      <c r="X93" s="448" t="s">
        <v>133</v>
      </c>
      <c r="Y93" s="449">
        <f>CB48</f>
        <v>0</v>
      </c>
      <c r="Z93" s="449">
        <f>CC48</f>
        <v>0</v>
      </c>
      <c r="AA93" s="449">
        <f>CD48</f>
        <v>10800</v>
      </c>
      <c r="AB93" s="449">
        <f>CE48</f>
        <v>0</v>
      </c>
      <c r="AC93" s="449">
        <f>CF48</f>
        <v>0</v>
      </c>
      <c r="AD93" s="449">
        <f t="shared" si="219"/>
        <v>10800</v>
      </c>
      <c r="AE93" s="447"/>
      <c r="AF93" s="122"/>
      <c r="GU93" s="172"/>
      <c r="HJ93" s="113"/>
    </row>
    <row r="94" spans="1:218" ht="15" customHeight="1">
      <c r="C94" s="5"/>
      <c r="D94" s="2"/>
      <c r="E94" s="2"/>
      <c r="F94" s="2"/>
      <c r="G94" s="46" t="s">
        <v>832</v>
      </c>
      <c r="H94" s="222">
        <f>SUM(H92:H93)</f>
        <v>0</v>
      </c>
      <c r="I94" s="222">
        <f>SUM(I92:I93)</f>
        <v>0</v>
      </c>
      <c r="J94" s="222">
        <f>SUM(J92:J93)</f>
        <v>72000</v>
      </c>
      <c r="K94" s="222">
        <f>SUM(K92:K93)</f>
        <v>0</v>
      </c>
      <c r="L94" s="222">
        <f>SUM(L92:L93)</f>
        <v>0</v>
      </c>
      <c r="M94" s="222">
        <f t="shared" si="217"/>
        <v>72000</v>
      </c>
      <c r="N94" s="6"/>
      <c r="O94" s="113"/>
      <c r="Q94" s="680">
        <f t="shared" si="218"/>
        <v>0</v>
      </c>
      <c r="S94" s="207"/>
      <c r="T94" s="231"/>
      <c r="U94" s="447"/>
      <c r="V94" s="447"/>
      <c r="W94" s="447"/>
      <c r="X94" s="448" t="s">
        <v>832</v>
      </c>
      <c r="Y94" s="449">
        <f>SUM(Y92:Y93)</f>
        <v>0</v>
      </c>
      <c r="Z94" s="449">
        <f>SUM(Z92:Z93)</f>
        <v>0</v>
      </c>
      <c r="AA94" s="449">
        <f>SUM(AA92:AA93)</f>
        <v>72000</v>
      </c>
      <c r="AB94" s="449">
        <f>SUM(AB92:AB93)</f>
        <v>0</v>
      </c>
      <c r="AC94" s="449">
        <f>SUM(AC92:AC93)</f>
        <v>0</v>
      </c>
      <c r="AD94" s="449">
        <f t="shared" si="219"/>
        <v>72000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0</v>
      </c>
      <c r="J96" s="222">
        <f>SUM(J94:J95)</f>
        <v>72000</v>
      </c>
      <c r="K96" s="222">
        <f>SUM(K94:K95)</f>
        <v>0</v>
      </c>
      <c r="L96" s="222">
        <f>SUM(L94:L95)</f>
        <v>0</v>
      </c>
      <c r="M96" s="222">
        <f t="shared" si="217"/>
        <v>72000</v>
      </c>
      <c r="O96" s="113"/>
      <c r="Q96" s="680">
        <f t="shared" si="218"/>
        <v>0</v>
      </c>
      <c r="S96" s="207"/>
      <c r="T96" s="447" t="s">
        <v>1779</v>
      </c>
      <c r="U96" s="447"/>
      <c r="V96" s="447"/>
      <c r="W96" s="447"/>
      <c r="X96" s="447"/>
      <c r="Y96" s="449">
        <f>SUM(Y94:Y95)</f>
        <v>0</v>
      </c>
      <c r="Z96" s="449">
        <f>SUM(Z94:Z95)</f>
        <v>0</v>
      </c>
      <c r="AA96" s="449">
        <f>SUM(AA94:AA95)</f>
        <v>72000</v>
      </c>
      <c r="AB96" s="449">
        <f>SUM(AB94:AB95)</f>
        <v>0</v>
      </c>
      <c r="AC96" s="449">
        <f>SUM(AC94:AC95)</f>
        <v>0</v>
      </c>
      <c r="AD96" s="449">
        <f t="shared" si="219"/>
        <v>72000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0</v>
      </c>
      <c r="J98" s="222">
        <f>SUM(J96:J97)</f>
        <v>72000</v>
      </c>
      <c r="K98" s="222">
        <f>SUM(K96:K97)</f>
        <v>0</v>
      </c>
      <c r="L98" s="222">
        <f>SUM(L96:L97)</f>
        <v>0</v>
      </c>
      <c r="M98" s="222">
        <f t="shared" si="217"/>
        <v>72000</v>
      </c>
      <c r="O98" s="113"/>
      <c r="Q98" s="680">
        <f t="shared" si="218"/>
        <v>0</v>
      </c>
      <c r="S98" s="207"/>
      <c r="T98" s="447" t="s">
        <v>832</v>
      </c>
      <c r="U98" s="447"/>
      <c r="V98" s="447"/>
      <c r="W98" s="447"/>
      <c r="X98" s="447"/>
      <c r="Y98" s="449">
        <f>SUM(Y96:Y97)</f>
        <v>0</v>
      </c>
      <c r="Z98" s="449">
        <f>SUM(Z96:Z97)</f>
        <v>0</v>
      </c>
      <c r="AA98" s="449">
        <f>SUM(AA96:AA97)</f>
        <v>72000</v>
      </c>
      <c r="AB98" s="449">
        <f>SUM(AB96:AB97)</f>
        <v>0</v>
      </c>
      <c r="AC98" s="449">
        <f>SUM(AC96:AC97)</f>
        <v>0</v>
      </c>
      <c r="AD98" s="449">
        <f t="shared" si="219"/>
        <v>72000</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1359">
        <f>0.02*L49</f>
        <v>6696</v>
      </c>
      <c r="H102" s="1360"/>
      <c r="I102" s="145" t="s">
        <v>3753</v>
      </c>
      <c r="P102" s="575"/>
    </row>
    <row r="103" spans="1:220" ht="15" customHeight="1">
      <c r="B103" s="16"/>
      <c r="D103" s="147"/>
      <c r="E103" s="184"/>
      <c r="G103" s="303"/>
      <c r="H103" s="303"/>
      <c r="I103" s="145"/>
      <c r="P103" s="575"/>
    </row>
    <row r="104" spans="1:220" ht="13.95" customHeight="1">
      <c r="B104" s="16" t="s">
        <v>2169</v>
      </c>
      <c r="I104" s="16"/>
      <c r="K104" s="43"/>
    </row>
    <row r="105" spans="1:220" ht="15" customHeight="1">
      <c r="B105" s="16"/>
      <c r="I105" s="16"/>
      <c r="K105" s="43"/>
    </row>
    <row r="106" spans="1:220" ht="13.95"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1633</v>
      </c>
      <c r="G107" s="849"/>
      <c r="H107" s="849"/>
      <c r="I107" s="849"/>
      <c r="J107" s="849"/>
      <c r="K107" s="850"/>
      <c r="L107" s="849"/>
      <c r="M107" s="849"/>
      <c r="N107" s="849"/>
      <c r="O107" s="849"/>
      <c r="P107" s="849"/>
    </row>
    <row r="108" spans="1:220" ht="15" customHeight="1">
      <c r="B108" s="9" t="s">
        <v>1230</v>
      </c>
      <c r="C108" s="1333"/>
      <c r="D108" s="1334"/>
      <c r="E108" s="1334"/>
      <c r="F108" s="1335"/>
      <c r="G108" s="851"/>
      <c r="H108" s="851"/>
      <c r="I108" s="851"/>
      <c r="J108" s="851"/>
      <c r="K108" s="852"/>
      <c r="L108" s="851"/>
      <c r="M108" s="851"/>
      <c r="N108" s="851"/>
      <c r="O108" s="851"/>
      <c r="P108" s="851"/>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849"/>
      <c r="H113" s="849"/>
      <c r="I113" s="849"/>
      <c r="J113" s="849"/>
      <c r="K113" s="850"/>
      <c r="L113" s="849"/>
      <c r="M113" s="849"/>
      <c r="N113" s="849"/>
      <c r="O113" s="849"/>
      <c r="P113" s="849"/>
    </row>
    <row r="114" spans="2:16" ht="15" customHeight="1">
      <c r="B114" s="9" t="s">
        <v>1230</v>
      </c>
      <c r="C114" s="1333"/>
      <c r="D114" s="1334"/>
      <c r="E114" s="1334"/>
      <c r="F114" s="1335"/>
      <c r="G114" s="851"/>
      <c r="H114" s="851"/>
      <c r="I114" s="851"/>
      <c r="J114" s="851"/>
      <c r="K114" s="852"/>
      <c r="L114" s="851"/>
      <c r="M114" s="851"/>
      <c r="N114" s="851"/>
      <c r="O114" s="851"/>
      <c r="P114" s="851"/>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1633</v>
      </c>
      <c r="G118" s="849"/>
      <c r="H118" s="849"/>
      <c r="I118" s="849"/>
      <c r="J118" s="849"/>
      <c r="K118" s="850"/>
      <c r="L118" s="849"/>
      <c r="M118" s="849"/>
      <c r="N118" s="849"/>
      <c r="O118" s="849"/>
      <c r="P118" s="849"/>
    </row>
    <row r="119" spans="2:16" ht="15" customHeight="1">
      <c r="B119" s="9" t="s">
        <v>1230</v>
      </c>
      <c r="C119" s="1333"/>
      <c r="D119" s="1334"/>
      <c r="E119" s="1334"/>
      <c r="F119" s="1335"/>
      <c r="G119" s="851"/>
      <c r="H119" s="851"/>
      <c r="I119" s="851"/>
      <c r="J119" s="851"/>
      <c r="K119" s="852"/>
      <c r="L119" s="851"/>
      <c r="M119" s="851"/>
      <c r="N119" s="851"/>
      <c r="O119" s="851"/>
      <c r="P119" s="851"/>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849"/>
      <c r="H124" s="849"/>
      <c r="I124" s="849"/>
      <c r="J124" s="849"/>
      <c r="K124" s="850"/>
      <c r="L124" s="849"/>
      <c r="M124" s="849"/>
      <c r="N124" s="849"/>
      <c r="O124" s="849"/>
      <c r="P124" s="849"/>
    </row>
    <row r="125" spans="2:16" ht="15" customHeight="1">
      <c r="B125" s="9" t="s">
        <v>1230</v>
      </c>
      <c r="C125" s="1333"/>
      <c r="D125" s="1334"/>
      <c r="E125" s="1334"/>
      <c r="F125" s="1335"/>
      <c r="G125" s="851"/>
      <c r="H125" s="851"/>
      <c r="I125" s="851"/>
      <c r="J125" s="851"/>
      <c r="K125" s="852"/>
      <c r="L125" s="851"/>
      <c r="M125" s="851"/>
      <c r="N125" s="851"/>
      <c r="O125" s="851"/>
      <c r="P125" s="851"/>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1633</v>
      </c>
      <c r="G129" s="849"/>
      <c r="H129" s="849"/>
      <c r="I129" s="849"/>
      <c r="J129" s="849"/>
      <c r="K129" s="850"/>
      <c r="L129" s="849"/>
      <c r="M129" s="849"/>
      <c r="N129" s="849"/>
      <c r="O129" s="849"/>
      <c r="P129" s="849"/>
    </row>
    <row r="130" spans="1:219" ht="15" customHeight="1">
      <c r="B130" s="9" t="s">
        <v>1230</v>
      </c>
      <c r="C130" s="1333"/>
      <c r="D130" s="1334"/>
      <c r="E130" s="1334"/>
      <c r="F130" s="1335"/>
      <c r="G130" s="851"/>
      <c r="H130" s="851"/>
      <c r="I130" s="851"/>
      <c r="J130" s="851"/>
      <c r="K130" s="852"/>
      <c r="L130" s="851"/>
      <c r="M130" s="851"/>
      <c r="N130" s="851"/>
      <c r="O130" s="851"/>
      <c r="P130" s="851"/>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849"/>
      <c r="H135" s="849"/>
      <c r="I135" s="849"/>
      <c r="J135" s="849"/>
      <c r="K135" s="850"/>
      <c r="L135" s="849"/>
      <c r="M135" s="849"/>
      <c r="N135" s="849"/>
      <c r="O135" s="849"/>
      <c r="P135" s="849"/>
    </row>
    <row r="136" spans="1:219" ht="15" customHeight="1">
      <c r="B136" s="9" t="s">
        <v>1230</v>
      </c>
      <c r="C136" s="1333"/>
      <c r="D136" s="1334"/>
      <c r="E136" s="1334"/>
      <c r="F136" s="1335"/>
      <c r="G136" s="851"/>
      <c r="H136" s="851"/>
      <c r="I136" s="851"/>
      <c r="J136" s="851"/>
      <c r="K136" s="852"/>
      <c r="L136" s="851"/>
      <c r="M136" s="851"/>
      <c r="N136" s="851"/>
      <c r="O136" s="851"/>
      <c r="P136" s="851"/>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42">
        <v>25000</v>
      </c>
      <c r="G142" s="1343"/>
      <c r="H142" s="2"/>
      <c r="I142" s="2" t="s">
        <v>2080</v>
      </c>
      <c r="J142" s="2"/>
      <c r="K142" s="1342"/>
      <c r="L142" s="1343"/>
      <c r="M142" s="2"/>
      <c r="N142" s="2" t="s">
        <v>1524</v>
      </c>
      <c r="O142" s="2"/>
      <c r="P142" s="853">
        <v>34800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42">
        <v>18000</v>
      </c>
      <c r="G143" s="1343"/>
      <c r="H143" s="2"/>
      <c r="I143" s="2" t="s">
        <v>2081</v>
      </c>
      <c r="J143" s="2"/>
      <c r="K143" s="1342"/>
      <c r="L143" s="1343"/>
      <c r="M143" s="2"/>
      <c r="N143" s="2" t="s">
        <v>200</v>
      </c>
      <c r="O143" s="2"/>
      <c r="P143" s="853">
        <v>10672</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42"/>
      <c r="G144" s="1343"/>
      <c r="H144" s="2"/>
      <c r="I144" s="2"/>
      <c r="J144" s="168" t="s">
        <v>249</v>
      </c>
      <c r="K144" s="1353">
        <f>SUM(K142:L143)</f>
        <v>0</v>
      </c>
      <c r="L144" s="1354"/>
      <c r="M144" s="2"/>
      <c r="N144" s="1346" t="s">
        <v>60</v>
      </c>
      <c r="O144" s="1347"/>
      <c r="P144" s="854"/>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0" t="s">
        <v>60</v>
      </c>
      <c r="C145" s="1351"/>
      <c r="D145" s="1351"/>
      <c r="E145" s="1352"/>
      <c r="F145" s="1338"/>
      <c r="G145" s="1339"/>
      <c r="H145" s="2"/>
      <c r="I145" s="2"/>
      <c r="J145" s="2"/>
      <c r="K145" s="2"/>
      <c r="L145" s="2"/>
      <c r="M145" s="2"/>
      <c r="N145" s="13" t="s">
        <v>249</v>
      </c>
      <c r="O145" s="2"/>
      <c r="P145" s="665">
        <f>SUM(P142:P144)</f>
        <v>45472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1353">
        <f>SUM(F142:G145)</f>
        <v>43000</v>
      </c>
      <c r="G146" s="1354"/>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30171</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42">
        <v>6000</v>
      </c>
      <c r="G149" s="1343"/>
      <c r="H149" s="2"/>
      <c r="I149" s="2" t="s">
        <v>2364</v>
      </c>
      <c r="J149" s="2"/>
      <c r="K149" s="1355">
        <v>2300</v>
      </c>
      <c r="L149" s="1356"/>
      <c r="M149" s="2"/>
      <c r="N149" s="610">
        <f>+P148/(M63*0.93)</f>
        <v>540.69892473118273</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42">
        <v>4800</v>
      </c>
      <c r="G150" s="1343"/>
      <c r="H150" s="2"/>
      <c r="I150" s="2" t="s">
        <v>3141</v>
      </c>
      <c r="J150" s="2"/>
      <c r="K150" s="1344">
        <v>8500</v>
      </c>
      <c r="L150" s="1345"/>
      <c r="M150" s="2"/>
      <c r="N150" s="610">
        <f>+P148/(M63*0.93)/12</f>
        <v>45.058243727598558</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42">
        <v>2000</v>
      </c>
      <c r="G151" s="1343"/>
      <c r="H151" s="2"/>
      <c r="I151" s="2" t="s">
        <v>2365</v>
      </c>
      <c r="J151" s="2"/>
      <c r="K151" s="1344">
        <v>1500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42"/>
      <c r="G152" s="1343"/>
      <c r="H152" s="2"/>
      <c r="I152" s="1346" t="s">
        <v>60</v>
      </c>
      <c r="J152" s="1347"/>
      <c r="K152" s="1355"/>
      <c r="L152" s="1356"/>
      <c r="M152" s="2"/>
      <c r="N152" s="1363" t="s">
        <v>3733</v>
      </c>
      <c r="O152" s="1364"/>
      <c r="P152" s="1364"/>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42"/>
      <c r="G153" s="1343"/>
      <c r="H153" s="2"/>
      <c r="I153" s="11"/>
      <c r="J153" s="13" t="s">
        <v>249</v>
      </c>
      <c r="K153" s="1340">
        <f>SUM(K149:K152)</f>
        <v>12300</v>
      </c>
      <c r="L153" s="1341"/>
      <c r="M153" s="2"/>
      <c r="N153" s="1364"/>
      <c r="O153" s="1364"/>
      <c r="P153" s="1364"/>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0" t="s">
        <v>60</v>
      </c>
      <c r="C154" s="1351"/>
      <c r="D154" s="1351"/>
      <c r="E154" s="1352"/>
      <c r="F154" s="1338"/>
      <c r="G154" s="1339"/>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1353">
        <f>SUM(F149:G154)</f>
        <v>12800</v>
      </c>
      <c r="G155" s="1354"/>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1993</v>
      </c>
      <c r="C157" s="2"/>
      <c r="D157" s="10"/>
      <c r="E157" s="2"/>
      <c r="F157" s="2"/>
      <c r="G157" s="2"/>
      <c r="H157" s="2"/>
      <c r="I157" s="11" t="s">
        <v>2077</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8">
        <v>12500</v>
      </c>
      <c r="G158" s="1349"/>
      <c r="H158" s="2"/>
      <c r="I158" s="2" t="s">
        <v>2070</v>
      </c>
      <c r="J158" s="662">
        <f>K158/12/$M$63</f>
        <v>25</v>
      </c>
      <c r="K158" s="1344">
        <v>18000</v>
      </c>
      <c r="L158" s="1345"/>
      <c r="M158" s="2"/>
      <c r="N158" s="368">
        <f>+$P$158/$M$63</f>
        <v>4000</v>
      </c>
      <c r="O158" s="30" t="s">
        <v>2110</v>
      </c>
      <c r="P158" s="663">
        <f>F146+F155+F166+K144+K153+K163+P145+P148</f>
        <v>240000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8">
        <v>12500</v>
      </c>
      <c r="G159" s="1349"/>
      <c r="H159" s="2"/>
      <c r="I159" s="2" t="s">
        <v>2071</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8">
        <v>16500</v>
      </c>
      <c r="G160" s="1349"/>
      <c r="H160" s="2"/>
      <c r="I160" s="2" t="s">
        <v>3554</v>
      </c>
      <c r="J160" s="662">
        <f>K160/12/$M$63</f>
        <v>15.277777777777777</v>
      </c>
      <c r="K160" s="1344">
        <v>11000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42">
        <v>2500</v>
      </c>
      <c r="G161" s="1343"/>
      <c r="H161" s="2"/>
      <c r="I161" s="2" t="s">
        <v>2073</v>
      </c>
      <c r="J161" s="2"/>
      <c r="K161" s="1344">
        <v>8000</v>
      </c>
      <c r="L161" s="1345"/>
      <c r="M161" s="2"/>
      <c r="N161" s="11" t="s">
        <v>1922</v>
      </c>
      <c r="O161" s="11"/>
      <c r="P161" s="664">
        <f>P162*M63</f>
        <v>15000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42">
        <v>7257</v>
      </c>
      <c r="G162" s="1343"/>
      <c r="H162" s="2"/>
      <c r="I162" s="1346" t="s">
        <v>60</v>
      </c>
      <c r="J162" s="1347"/>
      <c r="K162" s="1355"/>
      <c r="L162" s="1356"/>
      <c r="M162" s="2"/>
      <c r="N162" s="30" t="s">
        <v>679</v>
      </c>
      <c r="O162" s="2"/>
      <c r="P162" s="855">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42"/>
      <c r="G163" s="1343"/>
      <c r="H163" s="2"/>
      <c r="I163" s="2"/>
      <c r="J163" s="13" t="s">
        <v>249</v>
      </c>
      <c r="K163" s="1340">
        <f>SUM(K158:K162)</f>
        <v>37000</v>
      </c>
      <c r="L163" s="134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42">
        <v>8000</v>
      </c>
      <c r="G164" s="134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0" t="s">
        <v>60</v>
      </c>
      <c r="C165" s="1351"/>
      <c r="D165" s="1351"/>
      <c r="E165" s="1352"/>
      <c r="F165" s="1338"/>
      <c r="G165" s="1339"/>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1336">
        <f>SUM(F158:G165)</f>
        <v>59257</v>
      </c>
      <c r="G166" s="1337"/>
      <c r="H166" s="2"/>
      <c r="I166" s="2"/>
      <c r="J166" s="14"/>
      <c r="K166" s="2"/>
      <c r="L166" s="2"/>
      <c r="M166" s="2"/>
      <c r="N166" s="2"/>
      <c r="O166" s="2"/>
      <c r="P166" s="663">
        <f>P158+P161</f>
        <v>255000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2898</v>
      </c>
    </row>
    <row r="169" spans="1:219" ht="51.6" customHeight="1">
      <c r="A169" s="1009" t="s">
        <v>4006</v>
      </c>
      <c r="B169" s="1010"/>
      <c r="C169" s="1010"/>
      <c r="D169" s="1010"/>
      <c r="E169" s="1010"/>
      <c r="F169" s="1010"/>
      <c r="G169" s="1010"/>
      <c r="H169" s="1010"/>
      <c r="I169" s="1010"/>
      <c r="J169" s="1011"/>
      <c r="K169" s="1012"/>
      <c r="L169" s="1013"/>
      <c r="M169" s="1013"/>
      <c r="N169" s="1013"/>
      <c r="O169" s="1013"/>
      <c r="P169" s="1014"/>
    </row>
    <row r="170" spans="1:219" s="122" customFormat="1" ht="51.6" customHeight="1">
      <c r="A170" s="1006" t="s">
        <v>4007</v>
      </c>
      <c r="B170" s="1007"/>
      <c r="C170" s="1007"/>
      <c r="D170" s="1007"/>
      <c r="E170" s="1007"/>
      <c r="F170" s="1007"/>
      <c r="G170" s="1007"/>
      <c r="H170" s="1007"/>
      <c r="I170" s="1007"/>
      <c r="J170" s="1008"/>
      <c r="K170" s="1003"/>
      <c r="L170" s="1004"/>
      <c r="M170" s="1004"/>
      <c r="N170" s="1004"/>
      <c r="O170" s="1004"/>
      <c r="P170" s="100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15"/>
      <c r="B171" s="1016"/>
      <c r="C171" s="1016"/>
      <c r="D171" s="1016"/>
      <c r="E171" s="1016"/>
      <c r="F171" s="1016"/>
      <c r="G171" s="1016"/>
      <c r="H171" s="1016"/>
      <c r="I171" s="1016"/>
      <c r="J171" s="1017"/>
      <c r="K171" s="1018"/>
      <c r="L171" s="1019"/>
      <c r="M171" s="1019"/>
      <c r="N171" s="1019"/>
      <c r="O171" s="1019"/>
      <c r="P171" s="102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33" zoomScale="90" zoomScaleNormal="90" workbookViewId="0">
      <selection activeCell="G155" sqref="G155:K155"/>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5" t="str">
        <f>CONCATENATE("PART SEVEN - OPERATING PRO FORMA","  -  ",'Part I-Project Information'!$O$4," ",'Part I-Project Information'!$F$22,", ",'Part I-Project Information'!F24,", ",'Part I-Project Information'!J25," County")</f>
        <v>PART SEVEN - OPERATING PRO FORMA  -  2011-053 Hampton Court , Hampton, Henry County</v>
      </c>
      <c r="B1" s="1376"/>
      <c r="C1" s="1376"/>
      <c r="D1" s="1376"/>
      <c r="E1" s="1376"/>
      <c r="F1" s="1376"/>
      <c r="G1" s="1376"/>
      <c r="H1" s="1376"/>
      <c r="I1" s="1376"/>
      <c r="J1" s="1376"/>
      <c r="K1" s="1377"/>
      <c r="L1" s="11"/>
      <c r="M1" s="11"/>
      <c r="N1" s="11"/>
      <c r="O1" s="11"/>
    </row>
    <row r="2" spans="1:15" ht="4.2" customHeight="1"/>
    <row r="3" spans="1:15">
      <c r="A3" s="16" t="s">
        <v>100</v>
      </c>
      <c r="D3" s="16" t="s">
        <v>90</v>
      </c>
      <c r="E3" s="305"/>
      <c r="F3" s="401" t="s">
        <v>1670</v>
      </c>
    </row>
    <row r="4" spans="1:15" ht="2.4" customHeight="1">
      <c r="A4" s="19"/>
      <c r="B4" s="19"/>
      <c r="C4" s="19"/>
      <c r="H4" s="19"/>
      <c r="I4" s="19"/>
    </row>
    <row r="5" spans="1:15">
      <c r="A5" s="19" t="s">
        <v>3296</v>
      </c>
      <c r="B5" s="108">
        <v>0.02</v>
      </c>
      <c r="C5" s="19"/>
      <c r="D5" s="19" t="s">
        <v>1365</v>
      </c>
      <c r="F5" s="19"/>
      <c r="G5" s="817">
        <v>5000</v>
      </c>
      <c r="H5" s="132" t="s">
        <v>2972</v>
      </c>
      <c r="K5" s="138">
        <f>IF(($B$14+$B$15+$B$16+$B$17)=0,"",-B30/($B$14+$B$15+$B$16+$B$17))</f>
        <v>1.5743505300271465E-2</v>
      </c>
    </row>
    <row r="6" spans="1:15">
      <c r="A6" s="19" t="s">
        <v>3297</v>
      </c>
      <c r="B6" s="108">
        <v>0.03</v>
      </c>
      <c r="C6" s="19"/>
      <c r="D6" s="19" t="s">
        <v>1366</v>
      </c>
      <c r="F6" s="19"/>
      <c r="G6" s="817"/>
      <c r="H6" s="132" t="s">
        <v>3588</v>
      </c>
      <c r="K6" s="138">
        <f>IF(($B$14+$B$15+$B$16+$B$17)=0,"",-B32/($B$14+$B$15+$B$16+$B$17))</f>
        <v>0</v>
      </c>
    </row>
    <row r="7" spans="1:15">
      <c r="A7" s="19" t="s">
        <v>3299</v>
      </c>
      <c r="B7" s="108">
        <v>0.03</v>
      </c>
      <c r="C7" s="19"/>
      <c r="D7" s="110" t="s">
        <v>357</v>
      </c>
      <c r="G7" s="112"/>
      <c r="H7" s="132" t="s">
        <v>3589</v>
      </c>
      <c r="K7" s="138">
        <f>IF(($B$14+$B$15+$B$16+$B$17)=0,"",-B20/($B$14+$B$15+$B$16+$B$17))</f>
        <v>9.499945968289808E-2</v>
      </c>
    </row>
    <row r="8" spans="1:15" ht="13.2" customHeight="1">
      <c r="A8" s="19" t="s">
        <v>3298</v>
      </c>
      <c r="B8" s="818">
        <v>7.0000000000000007E-2</v>
      </c>
      <c r="C8" s="19"/>
      <c r="D8" s="109" t="s">
        <v>3790</v>
      </c>
      <c r="G8" s="819"/>
      <c r="H8" s="232" t="s">
        <v>2168</v>
      </c>
      <c r="K8" s="820"/>
    </row>
    <row r="9" spans="1:15">
      <c r="A9" s="19" t="s">
        <v>2129</v>
      </c>
      <c r="B9" s="108">
        <v>0.02</v>
      </c>
      <c r="D9" s="109" t="s">
        <v>2743</v>
      </c>
      <c r="G9" s="819" t="s">
        <v>3963</v>
      </c>
      <c r="H9" s="232" t="s">
        <v>3562</v>
      </c>
      <c r="K9" s="821">
        <v>9.5000000000000001E-2</v>
      </c>
    </row>
    <row r="10" spans="1:15" ht="4.2" customHeight="1"/>
    <row r="11" spans="1:15">
      <c r="A11" s="16" t="s">
        <v>101</v>
      </c>
    </row>
    <row r="12" spans="1:15" ht="2.4" customHeight="1"/>
    <row r="13" spans="1:15" ht="14.4"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3643</v>
      </c>
      <c r="B14" s="22">
        <f>'Part VI-Revenues &amp; Expenses'!L49</f>
        <v>334800</v>
      </c>
      <c r="C14" s="22">
        <f t="shared" ref="C14:K14" si="1">$B$14*(1+$B$5)^(C13-1)</f>
        <v>341496</v>
      </c>
      <c r="D14" s="22">
        <f t="shared" si="1"/>
        <v>348325.92</v>
      </c>
      <c r="E14" s="22">
        <f t="shared" si="1"/>
        <v>355292.43839999998</v>
      </c>
      <c r="F14" s="22">
        <f t="shared" si="1"/>
        <v>362398.28716800001</v>
      </c>
      <c r="G14" s="22">
        <f t="shared" si="1"/>
        <v>369646.25291136</v>
      </c>
      <c r="H14" s="22">
        <f t="shared" si="1"/>
        <v>377039.17796958721</v>
      </c>
      <c r="I14" s="22">
        <f t="shared" si="1"/>
        <v>384579.96152897889</v>
      </c>
      <c r="J14" s="22">
        <f t="shared" si="1"/>
        <v>392271.56075955852</v>
      </c>
      <c r="K14" s="23">
        <f t="shared" si="1"/>
        <v>400116.99197474966</v>
      </c>
    </row>
    <row r="15" spans="1:15" ht="13.2" customHeight="1">
      <c r="A15" s="24" t="s">
        <v>1632</v>
      </c>
      <c r="B15" s="25">
        <f>MIN(B14*B9,'Part VI-Revenues &amp; Expenses'!G102)</f>
        <v>6696</v>
      </c>
      <c r="C15" s="25">
        <f t="shared" ref="C15:K15" si="2">$B$15*(1+$B$5)^(C13-1)</f>
        <v>6829.92</v>
      </c>
      <c r="D15" s="25">
        <f t="shared" si="2"/>
        <v>6966.5183999999999</v>
      </c>
      <c r="E15" s="25">
        <f t="shared" si="2"/>
        <v>7105.8487679999998</v>
      </c>
      <c r="F15" s="25">
        <f t="shared" si="2"/>
        <v>7247.9657433599996</v>
      </c>
      <c r="G15" s="25">
        <f t="shared" si="2"/>
        <v>7392.9250582271998</v>
      </c>
      <c r="H15" s="25">
        <f t="shared" si="2"/>
        <v>7540.7835593917443</v>
      </c>
      <c r="I15" s="25">
        <f t="shared" si="2"/>
        <v>7691.599230579578</v>
      </c>
      <c r="J15" s="25">
        <f t="shared" si="2"/>
        <v>7845.4312151911699</v>
      </c>
      <c r="K15" s="26">
        <f t="shared" si="2"/>
        <v>8002.3398394949936</v>
      </c>
    </row>
    <row r="16" spans="1:15" ht="13.2" customHeight="1">
      <c r="A16" s="24" t="s">
        <v>3644</v>
      </c>
      <c r="B16" s="25">
        <f t="shared" ref="B16:K16" si="3">-(B14+B15)*$B$8</f>
        <v>-23904.720000000001</v>
      </c>
      <c r="C16" s="25">
        <f t="shared" si="3"/>
        <v>-24382.814400000003</v>
      </c>
      <c r="D16" s="25">
        <f t="shared" si="3"/>
        <v>-24870.470688000001</v>
      </c>
      <c r="E16" s="25">
        <f t="shared" si="3"/>
        <v>-25367.880101760002</v>
      </c>
      <c r="F16" s="25">
        <f t="shared" si="3"/>
        <v>-25875.237703795203</v>
      </c>
      <c r="G16" s="25">
        <f t="shared" si="3"/>
        <v>-26392.742457871107</v>
      </c>
      <c r="H16" s="25">
        <f t="shared" si="3"/>
        <v>-26920.597307028529</v>
      </c>
      <c r="I16" s="25">
        <f t="shared" si="3"/>
        <v>-27459.009253169093</v>
      </c>
      <c r="J16" s="25">
        <f t="shared" si="3"/>
        <v>-28008.189438232479</v>
      </c>
      <c r="K16" s="26">
        <f t="shared" si="3"/>
        <v>-28568.353226997129</v>
      </c>
    </row>
    <row r="17" spans="1:11" ht="13.2"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948</v>
      </c>
      <c r="B19" s="25">
        <f>-('Part VI-Revenues &amp; Expenses'!P158-'Part VI-Revenues &amp; Expenses'!P148)</f>
        <v>-209829</v>
      </c>
      <c r="C19" s="25">
        <f t="shared" ref="C19:K19" si="4">$B$19*(1+$B$6)^(C13-1)</f>
        <v>-216123.87</v>
      </c>
      <c r="D19" s="25">
        <f t="shared" si="4"/>
        <v>-222607.58609999999</v>
      </c>
      <c r="E19" s="25">
        <f t="shared" si="4"/>
        <v>-229285.81368300001</v>
      </c>
      <c r="F19" s="25">
        <f t="shared" si="4"/>
        <v>-236164.38809348998</v>
      </c>
      <c r="G19" s="25">
        <f t="shared" si="4"/>
        <v>-243249.31973629468</v>
      </c>
      <c r="H19" s="25">
        <f t="shared" si="4"/>
        <v>-250546.79932838352</v>
      </c>
      <c r="I19" s="25">
        <f t="shared" si="4"/>
        <v>-258063.20330823504</v>
      </c>
      <c r="J19" s="25">
        <f t="shared" si="4"/>
        <v>-265805.09940748208</v>
      </c>
      <c r="K19" s="26">
        <f t="shared" si="4"/>
        <v>-273779.25238970655</v>
      </c>
    </row>
    <row r="20" spans="1:11" ht="13.2" customHeight="1">
      <c r="A20" s="24" t="s">
        <v>1746</v>
      </c>
      <c r="B20" s="25">
        <f>IF(AND('Part VII-Pro Forma'!$G$8="Yes",'Part VII-Pro Forma'!$G$9="Yes"),"Choose One!",IF('Part VII-Pro Forma'!$G$8="Yes",ROUND((-$K$8*(1+'Part VII-Pro Forma'!$B$6)^('Part VII-Pro Forma'!B13-1)),),IF('Part VII-Pro Forma'!$G$9="Yes",ROUND((-(SUM(B14:B17)*'Part VII-Pro Forma'!$K$9)),),"Choose mgt fee")))</f>
        <v>-30171</v>
      </c>
      <c r="C20" s="25">
        <f>IF(AND('Part VII-Pro Forma'!$G$8="Yes",'Part VII-Pro Forma'!$G$9="Yes"),"Choose One!",IF('Part VII-Pro Forma'!$G$8="Yes",ROUND((-$K$8*(1+'Part VII-Pro Forma'!$B$6)^('Part VII-Pro Forma'!C13-1)),),IF('Part VII-Pro Forma'!$G$9="Yes",ROUND((-(SUM(C14:C17)*'Part VII-Pro Forma'!$K$9)),),"Choose mgt fee")))</f>
        <v>-30775</v>
      </c>
      <c r="D20" s="25">
        <f>IF(AND('Part VII-Pro Forma'!$G$8="Yes",'Part VII-Pro Forma'!$G$9="Yes"),"Choose One!",IF('Part VII-Pro Forma'!$G$8="Yes",ROUND((-$K$8*(1+'Part VII-Pro Forma'!$B$6)^('Part VII-Pro Forma'!D13-1)),),IF('Part VII-Pro Forma'!$G$9="Yes",ROUND((-(SUM(D14:D17)*'Part VII-Pro Forma'!$K$9)),),"Choose mgt fee")))</f>
        <v>-31390</v>
      </c>
      <c r="E20" s="25">
        <f>IF(AND('Part VII-Pro Forma'!$G$8="Yes",'Part VII-Pro Forma'!$G$9="Yes"),"Choose One!",IF('Part VII-Pro Forma'!$G$8="Yes",ROUND((-$K$8*(1+'Part VII-Pro Forma'!$B$6)^('Part VII-Pro Forma'!E13-1)),),IF('Part VII-Pro Forma'!$G$9="Yes",ROUND((-(SUM(E14:E17)*'Part VII-Pro Forma'!$K$9)),),"Choose mgt fee")))</f>
        <v>-32018</v>
      </c>
      <c r="F20" s="25">
        <f>IF(AND('Part VII-Pro Forma'!$G$8="Yes",'Part VII-Pro Forma'!$G$9="Yes"),"Choose One!",IF('Part VII-Pro Forma'!$G$8="Yes",ROUND((-$K$8*(1+'Part VII-Pro Forma'!$B$6)^('Part VII-Pro Forma'!F13-1)),),IF('Part VII-Pro Forma'!$G$9="Yes",ROUND((-(SUM(F14:F17)*'Part VII-Pro Forma'!$K$9)),),"Choose mgt fee")))</f>
        <v>-32658</v>
      </c>
      <c r="G20" s="25">
        <f>IF(AND('Part VII-Pro Forma'!$G$8="Yes",'Part VII-Pro Forma'!$G$9="Yes"),"Choose One!",IF('Part VII-Pro Forma'!$G$8="Yes",ROUND((-$K$8*(1+'Part VII-Pro Forma'!$B$6)^('Part VII-Pro Forma'!G13-1)),),IF('Part VII-Pro Forma'!$G$9="Yes",ROUND((-(SUM(G14:G17)*'Part VII-Pro Forma'!$K$9)),),"Choose mgt fee")))</f>
        <v>-33311</v>
      </c>
      <c r="H20" s="25">
        <f>IF(AND('Part VII-Pro Forma'!$G$8="Yes",'Part VII-Pro Forma'!$G$9="Yes"),"Choose One!",IF('Part VII-Pro Forma'!$G$8="Yes",ROUND((-$K$8*(1+'Part VII-Pro Forma'!$B$6)^('Part VII-Pro Forma'!H13-1)),),IF('Part VII-Pro Forma'!$G$9="Yes",ROUND((-(SUM(H14:H17)*'Part VII-Pro Forma'!$K$9)),),"Choose mgt fee")))</f>
        <v>-33978</v>
      </c>
      <c r="I20" s="25">
        <f>IF(AND('Part VII-Pro Forma'!$G$8="Yes",'Part VII-Pro Forma'!$G$9="Yes"),"Choose One!",IF('Part VII-Pro Forma'!$G$8="Yes",ROUND((-$K$8*(1+'Part VII-Pro Forma'!$B$6)^('Part VII-Pro Forma'!I13-1)),),IF('Part VII-Pro Forma'!$G$9="Yes",ROUND((-(SUM(I14:I17)*'Part VII-Pro Forma'!$K$9)),),"Choose mgt fee")))</f>
        <v>-34657</v>
      </c>
      <c r="J20" s="25">
        <f>IF(AND('Part VII-Pro Forma'!$G$8="Yes",'Part VII-Pro Forma'!$G$9="Yes"),"Choose One!",IF('Part VII-Pro Forma'!$G$8="Yes",ROUND((-$K$8*(1+'Part VII-Pro Forma'!$B$6)^('Part VII-Pro Forma'!J13-1)),),IF('Part VII-Pro Forma'!$G$9="Yes",ROUND((-(SUM(J14:J17)*'Part VII-Pro Forma'!$K$9)),),"Choose mgt fee")))</f>
        <v>-35350</v>
      </c>
      <c r="K20" s="25">
        <f>IF(AND('Part VII-Pro Forma'!$G$8="Yes",'Part VII-Pro Forma'!$G$9="Yes"),"Choose One!",IF('Part VII-Pro Forma'!$G$8="Yes",ROUND((-$K$8*(1+'Part VII-Pro Forma'!$B$6)^('Part VII-Pro Forma'!K13-1)),),IF('Part VII-Pro Forma'!$G$9="Yes",ROUND((-(SUM(K14:K17)*'Part VII-Pro Forma'!$K$9)),),"Choose mgt fee")))</f>
        <v>-36057</v>
      </c>
    </row>
    <row r="21" spans="1:11" ht="13.2" customHeight="1">
      <c r="A21" s="24" t="s">
        <v>1862</v>
      </c>
      <c r="B21" s="25">
        <f>-('Part VI-Revenues &amp; Expenses'!P161)</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row>
    <row r="22" spans="1:11" ht="13.2" customHeight="1">
      <c r="A22" s="24" t="s">
        <v>1863</v>
      </c>
      <c r="B22" s="25">
        <f t="shared" ref="B22:K22" si="6">SUM(B14:B21)</f>
        <v>62591.280000000028</v>
      </c>
      <c r="C22" s="25">
        <f t="shared" si="6"/>
        <v>61594.235600000015</v>
      </c>
      <c r="D22" s="25">
        <f t="shared" si="6"/>
        <v>60510.881612000027</v>
      </c>
      <c r="E22" s="25">
        <f t="shared" si="6"/>
        <v>59335.68838324002</v>
      </c>
      <c r="F22" s="25">
        <f t="shared" si="6"/>
        <v>58065.994964074831</v>
      </c>
      <c r="G22" s="25">
        <f t="shared" si="6"/>
        <v>56697.004660921441</v>
      </c>
      <c r="H22" s="25">
        <f t="shared" si="6"/>
        <v>55223.780445631885</v>
      </c>
      <c r="I22" s="25">
        <f t="shared" si="6"/>
        <v>53644.240216781254</v>
      </c>
      <c r="J22" s="25">
        <f t="shared" si="6"/>
        <v>51952.151908220891</v>
      </c>
      <c r="K22" s="26">
        <f t="shared" si="6"/>
        <v>50143.128440102329</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22">
        <f>IF('Part III A-Sources of Funds'!$M$33="", 0,-'Part III A-Sources of Funds'!$M$33)</f>
        <v>0</v>
      </c>
      <c r="C25" s="822">
        <f>IF('Part III A-Sources of Funds'!$M$33="", 0,-'Part III A-Sources of Funds'!$M$33)</f>
        <v>0</v>
      </c>
      <c r="D25" s="822">
        <f>IF('Part III A-Sources of Funds'!$M$33="", 0,-'Part III A-Sources of Funds'!$M$33)</f>
        <v>0</v>
      </c>
      <c r="E25" s="822">
        <f>IF('Part III A-Sources of Funds'!$M$33="", 0,-'Part III A-Sources of Funds'!$M$33)</f>
        <v>0</v>
      </c>
      <c r="F25" s="822">
        <f>IF('Part III A-Sources of Funds'!$M$33="", 0,-'Part III A-Sources of Funds'!$M$33)</f>
        <v>0</v>
      </c>
      <c r="G25" s="822">
        <f>IF('Part III A-Sources of Funds'!$M$33="", 0,-'Part III A-Sources of Funds'!$M$33)</f>
        <v>0</v>
      </c>
      <c r="H25" s="822">
        <f>IF('Part III A-Sources of Funds'!$M$33="", 0,-'Part III A-Sources of Funds'!$M$33)</f>
        <v>0</v>
      </c>
      <c r="I25" s="822">
        <f>IF('Part III A-Sources of Funds'!$M$33="", 0,-'Part III A-Sources of Funds'!$M$33)</f>
        <v>0</v>
      </c>
      <c r="J25" s="822">
        <f>IF('Part III A-Sources of Funds'!$M$33="", 0,-'Part III A-Sources of Funds'!$M$33)</f>
        <v>0</v>
      </c>
      <c r="K25" s="822">
        <f>IF('Part III A-Sources of Funds'!$M$33="", 0,-'Part III A-Sources of Funds'!$M$33)</f>
        <v>0</v>
      </c>
    </row>
    <row r="26" spans="1:11" ht="13.2" customHeight="1">
      <c r="A26" s="24" t="str">
        <f>IF('Part III A-Sources of Funds'!$E$32 = "Neither", "D/S Mortgage B","D/S Mortgage C")</f>
        <v>D/S Mortgage B</v>
      </c>
      <c r="B26" s="822">
        <f>IF('Part III A-Sources of Funds'!$M$34="", 0,-'Part III A-Sources of Funds'!$M$34)</f>
        <v>0</v>
      </c>
      <c r="C26" s="822">
        <f>IF('Part III A-Sources of Funds'!$M$34="", 0,-'Part III A-Sources of Funds'!$M$34)</f>
        <v>0</v>
      </c>
      <c r="D26" s="822">
        <f>IF('Part III A-Sources of Funds'!$M$34="", 0,-'Part III A-Sources of Funds'!$M$34)</f>
        <v>0</v>
      </c>
      <c r="E26" s="822">
        <f>IF('Part III A-Sources of Funds'!$M$34="", 0,-'Part III A-Sources of Funds'!$M$34)</f>
        <v>0</v>
      </c>
      <c r="F26" s="822">
        <f>IF('Part III A-Sources of Funds'!$M$34="", 0,-'Part III A-Sources of Funds'!$M$34)</f>
        <v>0</v>
      </c>
      <c r="G26" s="822">
        <f>IF('Part III A-Sources of Funds'!$M$34="", 0,-'Part III A-Sources of Funds'!$M$34)</f>
        <v>0</v>
      </c>
      <c r="H26" s="822">
        <f>IF('Part III A-Sources of Funds'!$M$34="", 0,-'Part III A-Sources of Funds'!$M$34)</f>
        <v>0</v>
      </c>
      <c r="I26" s="822">
        <f>IF('Part III A-Sources of Funds'!$M$34="", 0,-'Part III A-Sources of Funds'!$M$34)</f>
        <v>0</v>
      </c>
      <c r="J26" s="822">
        <f>IF('Part III A-Sources of Funds'!$M$34="", 0,-'Part III A-Sources of Funds'!$M$34)</f>
        <v>0</v>
      </c>
      <c r="K26" s="822">
        <f>IF('Part III A-Sources of Funds'!$M$34="", 0,-'Part III A-Sources of Funds'!$M$34)</f>
        <v>0</v>
      </c>
    </row>
    <row r="27" spans="1:11" ht="13.2" customHeight="1">
      <c r="A27" s="24" t="s">
        <v>1362</v>
      </c>
      <c r="B27" s="822">
        <f>IF('Part III A-Sources of Funds'!$M$35="", 0,-'Part III A-Sources of Funds'!$M$35)</f>
        <v>0</v>
      </c>
      <c r="C27" s="822">
        <f>IF('Part III A-Sources of Funds'!$M$35="", 0,-'Part III A-Sources of Funds'!$M$35)</f>
        <v>0</v>
      </c>
      <c r="D27" s="822">
        <f>IF('Part III A-Sources of Funds'!$M$35="", 0,-'Part III A-Sources of Funds'!$M$35)</f>
        <v>0</v>
      </c>
      <c r="E27" s="822">
        <f>IF('Part III A-Sources of Funds'!$M$35="", 0,-'Part III A-Sources of Funds'!$M$35)</f>
        <v>0</v>
      </c>
      <c r="F27" s="822">
        <f>IF('Part III A-Sources of Funds'!$M$35="", 0,-'Part III A-Sources of Funds'!$M$35)</f>
        <v>0</v>
      </c>
      <c r="G27" s="822">
        <f>IF('Part III A-Sources of Funds'!$M$35="", 0,-'Part III A-Sources of Funds'!$M$35)</f>
        <v>0</v>
      </c>
      <c r="H27" s="822">
        <f>IF('Part III A-Sources of Funds'!$M$35="", 0,-'Part III A-Sources of Funds'!$M$35)</f>
        <v>0</v>
      </c>
      <c r="I27" s="822">
        <f>IF('Part III A-Sources of Funds'!$M$35="", 0,-'Part III A-Sources of Funds'!$M$35)</f>
        <v>0</v>
      </c>
      <c r="J27" s="822">
        <f>IF('Part III A-Sources of Funds'!$M$35="", 0,-'Part III A-Sources of Funds'!$M$35)</f>
        <v>0</v>
      </c>
      <c r="K27" s="822">
        <f>IF('Part III A-Sources of Funds'!$M$35="", 0,-'Part III A-Sources of Funds'!$M$35)</f>
        <v>0</v>
      </c>
    </row>
    <row r="28" spans="1:11" ht="13.2" customHeight="1">
      <c r="A28" s="24" t="s">
        <v>807</v>
      </c>
      <c r="B28" s="822">
        <f>IF('Part III A-Sources of Funds'!$M$36="", 0,-'Part III A-Sources of Funds'!$M$36)</f>
        <v>0</v>
      </c>
      <c r="C28" s="822">
        <f>IF('Part III A-Sources of Funds'!$M$36="", 0,-'Part III A-Sources of Funds'!$M$36)</f>
        <v>0</v>
      </c>
      <c r="D28" s="822">
        <f>IF('Part III A-Sources of Funds'!$M$36="", 0,-'Part III A-Sources of Funds'!$M$36)</f>
        <v>0</v>
      </c>
      <c r="E28" s="822">
        <f>IF('Part III A-Sources of Funds'!$M$36="", 0,-'Part III A-Sources of Funds'!$M$36)</f>
        <v>0</v>
      </c>
      <c r="F28" s="822">
        <f>IF('Part III A-Sources of Funds'!$M$36="", 0,-'Part III A-Sources of Funds'!$M$36)</f>
        <v>0</v>
      </c>
      <c r="G28" s="822">
        <f>IF('Part III A-Sources of Funds'!$M$36="", 0,-'Part III A-Sources of Funds'!$M$36)</f>
        <v>0</v>
      </c>
      <c r="H28" s="822">
        <f>IF('Part III A-Sources of Funds'!$M$36="", 0,-'Part III A-Sources of Funds'!$M$36)</f>
        <v>0</v>
      </c>
      <c r="I28" s="822">
        <f>IF('Part III A-Sources of Funds'!$M$36="", 0,-'Part III A-Sources of Funds'!$M$36)</f>
        <v>0</v>
      </c>
      <c r="J28" s="822">
        <f>IF('Part III A-Sources of Funds'!$M$36="", 0,-'Part III A-Sources of Funds'!$M$36)</f>
        <v>0</v>
      </c>
      <c r="K28" s="822">
        <f>IF('Part III A-Sources of Funds'!$M$36="", 0,-'Part III A-Sources of Funds'!$M$36)</f>
        <v>0</v>
      </c>
    </row>
    <row r="29" spans="1:11" ht="13.2" customHeight="1">
      <c r="A29" s="24" t="s">
        <v>1336</v>
      </c>
      <c r="B29" s="823"/>
      <c r="C29" s="823"/>
      <c r="D29" s="823"/>
      <c r="E29" s="823"/>
      <c r="F29" s="823"/>
      <c r="G29" s="823"/>
      <c r="H29" s="823"/>
      <c r="I29" s="823"/>
      <c r="J29" s="823"/>
      <c r="K29" s="823"/>
    </row>
    <row r="30" spans="1:11" ht="13.2" customHeight="1">
      <c r="A30" s="24" t="s">
        <v>1807</v>
      </c>
      <c r="B30" s="822">
        <f>-$G$5</f>
        <v>-5000</v>
      </c>
      <c r="C30" s="822">
        <f t="shared" ref="C30:K30" si="7">+B30</f>
        <v>-5000</v>
      </c>
      <c r="D30" s="822">
        <f t="shared" si="7"/>
        <v>-5000</v>
      </c>
      <c r="E30" s="822">
        <f t="shared" si="7"/>
        <v>-5000</v>
      </c>
      <c r="F30" s="822">
        <f t="shared" si="7"/>
        <v>-5000</v>
      </c>
      <c r="G30" s="822">
        <f t="shared" si="7"/>
        <v>-5000</v>
      </c>
      <c r="H30" s="822">
        <f t="shared" si="7"/>
        <v>-5000</v>
      </c>
      <c r="I30" s="822">
        <f t="shared" si="7"/>
        <v>-5000</v>
      </c>
      <c r="J30" s="822">
        <f t="shared" si="7"/>
        <v>-5000</v>
      </c>
      <c r="K30" s="822">
        <f t="shared" si="7"/>
        <v>-5000</v>
      </c>
    </row>
    <row r="31" spans="1:11" ht="13.2" customHeight="1">
      <c r="A31" s="24" t="s">
        <v>1864</v>
      </c>
      <c r="B31" s="822">
        <v>-19274.400000000001</v>
      </c>
      <c r="C31" s="822">
        <v>-19274.400000000001</v>
      </c>
      <c r="D31" s="822">
        <v>-19274.400000000001</v>
      </c>
      <c r="E31" s="822">
        <v>-19274.400000000001</v>
      </c>
      <c r="F31" s="822">
        <v>-19274.400000000001</v>
      </c>
      <c r="G31" s="822">
        <v>-19274.400000000001</v>
      </c>
      <c r="H31" s="822">
        <v>-19274.400000000001</v>
      </c>
      <c r="I31" s="822">
        <v>-19274.400000000001</v>
      </c>
      <c r="J31" s="822">
        <v>-19274.400000000001</v>
      </c>
      <c r="K31" s="822">
        <v>-19274.400000000001</v>
      </c>
    </row>
    <row r="32" spans="1:11" ht="13.2" customHeight="1">
      <c r="A32" s="24" t="s">
        <v>1808</v>
      </c>
      <c r="B32" s="824">
        <f>-$G$6</f>
        <v>0</v>
      </c>
      <c r="C32" s="824">
        <f t="shared" ref="C32:K32" si="8">+B32</f>
        <v>0</v>
      </c>
      <c r="D32" s="824">
        <f t="shared" si="8"/>
        <v>0</v>
      </c>
      <c r="E32" s="824">
        <f t="shared" si="8"/>
        <v>0</v>
      </c>
      <c r="F32" s="824">
        <f t="shared" si="8"/>
        <v>0</v>
      </c>
      <c r="G32" s="824">
        <f t="shared" si="8"/>
        <v>0</v>
      </c>
      <c r="H32" s="824">
        <f t="shared" si="8"/>
        <v>0</v>
      </c>
      <c r="I32" s="824">
        <f t="shared" si="8"/>
        <v>0</v>
      </c>
      <c r="J32" s="824">
        <f t="shared" si="8"/>
        <v>0</v>
      </c>
      <c r="K32" s="824">
        <f t="shared" si="8"/>
        <v>0</v>
      </c>
    </row>
    <row r="33" spans="1:11" ht="13.2" customHeight="1">
      <c r="A33" s="24" t="s">
        <v>1809</v>
      </c>
      <c r="B33" s="25">
        <f t="shared" ref="B33:K33" si="9">SUM(B22:B32)</f>
        <v>38316.880000000026</v>
      </c>
      <c r="C33" s="25">
        <f t="shared" si="9"/>
        <v>37319.835600000013</v>
      </c>
      <c r="D33" s="25">
        <f t="shared" si="9"/>
        <v>36236.481612000025</v>
      </c>
      <c r="E33" s="25">
        <f t="shared" si="9"/>
        <v>35061.288383240018</v>
      </c>
      <c r="F33" s="25">
        <f t="shared" si="9"/>
        <v>33791.594964074829</v>
      </c>
      <c r="G33" s="25">
        <f t="shared" si="9"/>
        <v>32422.604660921439</v>
      </c>
      <c r="H33" s="25">
        <f t="shared" si="9"/>
        <v>30949.380445631883</v>
      </c>
      <c r="I33" s="25">
        <f t="shared" si="9"/>
        <v>29369.840216781253</v>
      </c>
      <c r="J33" s="25">
        <f t="shared" si="9"/>
        <v>27677.751908220889</v>
      </c>
      <c r="K33" s="23">
        <f t="shared" si="9"/>
        <v>25868.728440102328</v>
      </c>
    </row>
    <row r="34" spans="1:11" ht="13.2"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First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2"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1345</v>
      </c>
      <c r="B40" s="379">
        <f>IF(OR(B20="Choose mgt fee",B20="Choose One!"),"",(B14+B15+B16+B17+B18) / -(B19+B20+B21))</f>
        <v>1.2454560000000001</v>
      </c>
      <c r="C40" s="379">
        <f t="shared" ref="C40:K40" si="16">IF(OR(C20="Choose mgt fee",C20="Choose One!"),"",(C14+C15+C16+C17+C18) / -(C19+C20+C21))</f>
        <v>1.2347798776491776</v>
      </c>
      <c r="D40" s="379">
        <f t="shared" si="16"/>
        <v>1.2241882039242407</v>
      </c>
      <c r="E40" s="379">
        <f t="shared" si="16"/>
        <v>1.2136723689404196</v>
      </c>
      <c r="F40" s="379">
        <f t="shared" si="16"/>
        <v>1.2032375731955585</v>
      </c>
      <c r="G40" s="379">
        <f t="shared" si="16"/>
        <v>1.192880130765418</v>
      </c>
      <c r="H40" s="379">
        <f t="shared" si="16"/>
        <v>1.1825968351874738</v>
      </c>
      <c r="I40" s="379">
        <f t="shared" si="16"/>
        <v>1.1723962186074079</v>
      </c>
      <c r="J40" s="379">
        <f t="shared" si="16"/>
        <v>1.1622710376506833</v>
      </c>
      <c r="K40" s="380">
        <f t="shared" si="16"/>
        <v>1.1522220202636446</v>
      </c>
    </row>
    <row r="41" spans="1:11" ht="13.2" customHeight="1">
      <c r="A41" s="24" t="str">
        <f>IF('Part III A-Sources of Funds'!$E$32 = "Neither", "", "Mortgage A Balance")</f>
        <v/>
      </c>
      <c r="B41" s="825">
        <f>IF('Part III A-Sources of Funds'!$H$32="","",-FV('Part III A-Sources of Funds'!$J$32/12,12,B23/12,'Part III A-Sources of Funds'!H32))</f>
        <v>0</v>
      </c>
      <c r="C41" s="825">
        <f>IF('Part III A-Sources of Funds'!$H$32="","",-FV('Part III A-Sources of Funds'!$J$32/12,12,C23/12,B41))</f>
        <v>0</v>
      </c>
      <c r="D41" s="825">
        <f>IF('Part III A-Sources of Funds'!$H$32="","",-FV('Part III A-Sources of Funds'!$J$32/12,12,D23/12,C41))</f>
        <v>0</v>
      </c>
      <c r="E41" s="825">
        <f>IF('Part III A-Sources of Funds'!$H$32="","",-FV('Part III A-Sources of Funds'!$J$32/12,12,E23/12,D41))</f>
        <v>0</v>
      </c>
      <c r="F41" s="825">
        <f>IF('Part III A-Sources of Funds'!$H$32="","",-FV('Part III A-Sources of Funds'!$J$32/12,12,F23/12,E41))</f>
        <v>0</v>
      </c>
      <c r="G41" s="825">
        <f>IF('Part III A-Sources of Funds'!$H$32="","",-FV('Part III A-Sources of Funds'!$J$32/12,12,G23/12,F41))</f>
        <v>0</v>
      </c>
      <c r="H41" s="825">
        <f>IF('Part III A-Sources of Funds'!$H$32="","",-FV('Part III A-Sources of Funds'!$J$32/12,12,H23/12,G41))</f>
        <v>0</v>
      </c>
      <c r="I41" s="825">
        <f>IF('Part III A-Sources of Funds'!$H$32="","",-FV('Part III A-Sources of Funds'!$J$32/12,12,I23/12,H41))</f>
        <v>0</v>
      </c>
      <c r="J41" s="825">
        <f>IF('Part III A-Sources of Funds'!$H$32="","",-FV('Part III A-Sources of Funds'!$J$32/12,12,J23/12,I41))</f>
        <v>0</v>
      </c>
      <c r="K41" s="825">
        <f>IF('Part III A-Sources of Funds'!$H$32="","",-FV('Part III A-Sources of Funds'!$J$32/12,12,K23/12,J41))</f>
        <v>0</v>
      </c>
    </row>
    <row r="42" spans="1:11" ht="13.2" customHeight="1">
      <c r="A42" s="24" t="str">
        <f>IF('Part III A-Sources of Funds'!$E$32 = "Neither", "Mortgage A Balance", "Mortgage B Balance")</f>
        <v>Mortgage A Balance</v>
      </c>
      <c r="B42" s="822" t="str">
        <f>IF('Part III A-Sources of Funds'!$H$33="","",-FV('Part III A-Sources of Funds'!$J$33/12,12,B25/12,'Part III A-Sources of Funds'!H33))</f>
        <v/>
      </c>
      <c r="C42" s="822" t="str">
        <f>IF('Part III A-Sources of Funds'!$H$33="","",-FV('Part III A-Sources of Funds'!$J$33/12,12,C25/12,B42))</f>
        <v/>
      </c>
      <c r="D42" s="822" t="str">
        <f>IF('Part III A-Sources of Funds'!$H$33="","",-FV('Part III A-Sources of Funds'!$J$33/12,12,D25/12,C42))</f>
        <v/>
      </c>
      <c r="E42" s="822" t="str">
        <f>IF('Part III A-Sources of Funds'!$H$33="","",-FV('Part III A-Sources of Funds'!$J$33/12,12,E25/12,D42))</f>
        <v/>
      </c>
      <c r="F42" s="822" t="str">
        <f>IF('Part III A-Sources of Funds'!$H$33="","",-FV('Part III A-Sources of Funds'!$J$33/12,12,F25/12,E42))</f>
        <v/>
      </c>
      <c r="G42" s="822" t="str">
        <f>IF('Part III A-Sources of Funds'!$H$33="","",-FV('Part III A-Sources of Funds'!$J$33/12,12,G25/12,F42))</f>
        <v/>
      </c>
      <c r="H42" s="822" t="str">
        <f>IF('Part III A-Sources of Funds'!$H$33="","",-FV('Part III A-Sources of Funds'!$J$33/12,12,H25/12,G42))</f>
        <v/>
      </c>
      <c r="I42" s="822" t="str">
        <f>IF('Part III A-Sources of Funds'!$H$33="","",-FV('Part III A-Sources of Funds'!$J$33/12,12,I25/12,H42))</f>
        <v/>
      </c>
      <c r="J42" s="822" t="str">
        <f>IF('Part III A-Sources of Funds'!$H$33="","",-FV('Part III A-Sources of Funds'!$J$33/12,12,J25/12,I42))</f>
        <v/>
      </c>
      <c r="K42" s="822" t="str">
        <f>IF('Part III A-Sources of Funds'!$H$33="","",-FV('Part III A-Sources of Funds'!$J$33/12,12,K25/12,J42))</f>
        <v/>
      </c>
    </row>
    <row r="43" spans="1:11" ht="13.2" customHeight="1">
      <c r="A43" s="24" t="str">
        <f>IF('Part III A-Sources of Funds'!$E$32 = "Neither", "Mortgage B Balance", "Mortgage C Balance")</f>
        <v>Mortgage B Balance</v>
      </c>
      <c r="B43" s="822" t="str">
        <f>IF('Part III A-Sources of Funds'!$H$34="","",-FV('Part III A-Sources of Funds'!$J$34/12,12,B26/12,'Part III A-Sources of Funds'!H34))</f>
        <v/>
      </c>
      <c r="C43" s="822" t="str">
        <f>IF('Part III A-Sources of Funds'!$H$34="","",-FV('Part III A-Sources of Funds'!$J$34/12,12,C26/12,B43))</f>
        <v/>
      </c>
      <c r="D43" s="822" t="str">
        <f>IF('Part III A-Sources of Funds'!$H$34="","",-FV('Part III A-Sources of Funds'!$J$34/12,12,D26/12,C43))</f>
        <v/>
      </c>
      <c r="E43" s="822" t="str">
        <f>IF('Part III A-Sources of Funds'!$H$34="","",-FV('Part III A-Sources of Funds'!$J$34/12,12,E26/12,D43))</f>
        <v/>
      </c>
      <c r="F43" s="822" t="str">
        <f>IF('Part III A-Sources of Funds'!$H$34="","",-FV('Part III A-Sources of Funds'!$J$34/12,12,F26/12,E43))</f>
        <v/>
      </c>
      <c r="G43" s="822" t="str">
        <f>IF('Part III A-Sources of Funds'!$H$34="","",-FV('Part III A-Sources of Funds'!$J$34/12,12,G26/12,F43))</f>
        <v/>
      </c>
      <c r="H43" s="822" t="str">
        <f>IF('Part III A-Sources of Funds'!$H$34="","",-FV('Part III A-Sources of Funds'!$J$34/12,12,H26/12,G43))</f>
        <v/>
      </c>
      <c r="I43" s="822" t="str">
        <f>IF('Part III A-Sources of Funds'!$H$34="","",-FV('Part III A-Sources of Funds'!$J$34/12,12,I26/12,H43))</f>
        <v/>
      </c>
      <c r="J43" s="822" t="str">
        <f>IF('Part III A-Sources of Funds'!$H$34="","",-FV('Part III A-Sources of Funds'!$J$34/12,12,J26/12,I43))</f>
        <v/>
      </c>
      <c r="K43" s="822" t="str">
        <f>IF('Part III A-Sources of Funds'!$H$34="","",-FV('Part III A-Sources of Funds'!$J$34/12,12,K26/12,J43))</f>
        <v/>
      </c>
    </row>
    <row r="44" spans="1:11" ht="13.2" customHeight="1">
      <c r="A44" s="24" t="s">
        <v>1364</v>
      </c>
      <c r="B44" s="822" t="str">
        <f>IF('Part III A-Sources of Funds'!$H$35="","",-FV('Part III A-Sources of Funds'!$J$35/12,12,B27/12,'Part III A-Sources of Funds'!H35))</f>
        <v/>
      </c>
      <c r="C44" s="822" t="str">
        <f>IF('Part III A-Sources of Funds'!$H$35="","",-FV('Part III A-Sources of Funds'!$J$35/12,12,C27/12,B44))</f>
        <v/>
      </c>
      <c r="D44" s="822" t="str">
        <f>IF('Part III A-Sources of Funds'!$H$35="","",-FV('Part III A-Sources of Funds'!$J$35/12,12,D27/12,C44))</f>
        <v/>
      </c>
      <c r="E44" s="822" t="str">
        <f>IF('Part III A-Sources of Funds'!$H$35="","",-FV('Part III A-Sources of Funds'!$J$35/12,12,E27/12,D44))</f>
        <v/>
      </c>
      <c r="F44" s="822" t="str">
        <f>IF('Part III A-Sources of Funds'!$H$35="","",-FV('Part III A-Sources of Funds'!$J$35/12,12,F27/12,E44))</f>
        <v/>
      </c>
      <c r="G44" s="822" t="str">
        <f>IF('Part III A-Sources of Funds'!$H$35="","",-FV('Part III A-Sources of Funds'!$J$35/12,12,G27/12,F44))</f>
        <v/>
      </c>
      <c r="H44" s="822" t="str">
        <f>IF('Part III A-Sources of Funds'!$H$35="","",-FV('Part III A-Sources of Funds'!$J$35/12,12,H27/12,G44))</f>
        <v/>
      </c>
      <c r="I44" s="822" t="str">
        <f>IF('Part III A-Sources of Funds'!$H$35="","",-FV('Part III A-Sources of Funds'!$J$35/12,12,I27/12,H44))</f>
        <v/>
      </c>
      <c r="J44" s="822" t="str">
        <f>IF('Part III A-Sources of Funds'!$H$35="","",-FV('Part III A-Sources of Funds'!$J$35/12,12,J27/12,I44))</f>
        <v/>
      </c>
      <c r="K44" s="822" t="str">
        <f>IF('Part III A-Sources of Funds'!$H$35="","",-FV('Part III A-Sources of Funds'!$J$35/12,12,K27/12,J44))</f>
        <v/>
      </c>
    </row>
    <row r="45" spans="1:11" ht="13.2" customHeight="1">
      <c r="A45" s="24" t="s">
        <v>1364</v>
      </c>
      <c r="B45" s="822" t="str">
        <f>IF('Part III A-Sources of Funds'!$H$36="","",-FV('Part III A-Sources of Funds'!$J$36/12,12,B28/12,'Part III A-Sources of Funds'!$H$36))</f>
        <v/>
      </c>
      <c r="C45" s="822" t="str">
        <f>IF('Part III A-Sources of Funds'!$H$36="","",-FV('Part III A-Sources of Funds'!$J$36/12,12,C28/12,B45))</f>
        <v/>
      </c>
      <c r="D45" s="822" t="str">
        <f>IF('Part III A-Sources of Funds'!$H$36="","",-FV('Part III A-Sources of Funds'!$J$36/12,12,D28/12,C45))</f>
        <v/>
      </c>
      <c r="E45" s="822" t="str">
        <f>IF('Part III A-Sources of Funds'!$H$36="","",-FV('Part III A-Sources of Funds'!$J$36/12,12,E28/12,D45))</f>
        <v/>
      </c>
      <c r="F45" s="822" t="str">
        <f>IF('Part III A-Sources of Funds'!$H$36="","",-FV('Part III A-Sources of Funds'!$J$36/12,12,F28/12,E45))</f>
        <v/>
      </c>
      <c r="G45" s="822" t="str">
        <f>IF('Part III A-Sources of Funds'!$H$36="","",-FV('Part III A-Sources of Funds'!$J$36/12,12,G28/12,F45))</f>
        <v/>
      </c>
      <c r="H45" s="822" t="str">
        <f>IF('Part III A-Sources of Funds'!$H$36="","",-FV('Part III A-Sources of Funds'!$J$36/12,12,H28/12,G45))</f>
        <v/>
      </c>
      <c r="I45" s="822" t="str">
        <f>IF('Part III A-Sources of Funds'!$H$36="","",-FV('Part III A-Sources of Funds'!$J$36/12,12,I28/12,H45))</f>
        <v/>
      </c>
      <c r="J45" s="822" t="str">
        <f>IF('Part III A-Sources of Funds'!$H$36="","",-FV('Part III A-Sources of Funds'!$J$36/12,12,J28/12,I45))</f>
        <v/>
      </c>
      <c r="K45" s="822" t="str">
        <f>IF('Part III A-Sources of Funds'!$H$36="","",-FV('Part III A-Sources of Funds'!$J$36/12,12,K28/12,J45))</f>
        <v/>
      </c>
    </row>
    <row r="46" spans="1:11" ht="13.2" customHeight="1">
      <c r="A46" s="29" t="s">
        <v>1899</v>
      </c>
      <c r="B46" s="824">
        <f>IF('Part III A-Sources of Funds'!$H$37="","",-FV('Part III A-Sources of Funds'!$J$37/12,12,B31/12,'Part III A-Sources of Funds'!H37))</f>
        <v>173469.6</v>
      </c>
      <c r="C46" s="824">
        <f>IF('Part III A-Sources of Funds'!$H$37="","",-FV('Part III A-Sources of Funds'!$J$37/12,12,C31/12,B46))</f>
        <v>154195.20000000001</v>
      </c>
      <c r="D46" s="824">
        <f>IF('Part III A-Sources of Funds'!$H$37="","",-FV('Part III A-Sources of Funds'!$J$37/12,12,D31/12,C46))</f>
        <v>134920.80000000002</v>
      </c>
      <c r="E46" s="824">
        <f>IF('Part III A-Sources of Funds'!$H$37="","",-FV('Part III A-Sources of Funds'!$J$37/12,12,E31/12,D46))</f>
        <v>115646.40000000002</v>
      </c>
      <c r="F46" s="824">
        <f>IF('Part III A-Sources of Funds'!$H$37="","",-FV('Part III A-Sources of Funds'!$J$37/12,12,F31/12,E46))</f>
        <v>96372.000000000029</v>
      </c>
      <c r="G46" s="824">
        <f>IF('Part III A-Sources of Funds'!$H$37="","",-FV('Part III A-Sources of Funds'!$J$37/12,12,G31/12,F46))</f>
        <v>77097.600000000035</v>
      </c>
      <c r="H46" s="824">
        <f>IF('Part III A-Sources of Funds'!$H$37="","",-FV('Part III A-Sources of Funds'!$J$37/12,12,H31/12,G46))</f>
        <v>57823.200000000033</v>
      </c>
      <c r="I46" s="824">
        <f>IF('Part III A-Sources of Funds'!$H$37="","",-FV('Part III A-Sources of Funds'!$J$37/12,12,I31/12,H46))</f>
        <v>38548.800000000032</v>
      </c>
      <c r="J46" s="824">
        <f>IF('Part III A-Sources of Funds'!$H$37="","",-FV('Part III A-Sources of Funds'!$J$37/12,12,J31/12,I46))</f>
        <v>19274.400000000031</v>
      </c>
      <c r="K46" s="824">
        <f>IF('Part III A-Sources of Funds'!$H$37="","",-FV('Part III A-Sources of Funds'!$J$37/12,12,K31/12,J46))</f>
        <v>2.9103830456733704E-11</v>
      </c>
    </row>
    <row r="47" spans="1:11" ht="4.2" customHeight="1">
      <c r="B47" s="20"/>
      <c r="C47" s="20"/>
      <c r="D47" s="20"/>
      <c r="E47" s="20"/>
      <c r="F47" s="20"/>
      <c r="G47" s="20"/>
      <c r="H47" s="20"/>
      <c r="I47" s="20"/>
      <c r="J47" s="20"/>
      <c r="K47" s="20"/>
    </row>
    <row r="48" spans="1:11" ht="14.4"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3643</v>
      </c>
      <c r="B49" s="22">
        <f t="shared" ref="B49:K49" si="18">$B$14*(1+$B$5)^(B48-1)</f>
        <v>408119.33181424468</v>
      </c>
      <c r="C49" s="22">
        <f t="shared" si="18"/>
        <v>416281.7184505295</v>
      </c>
      <c r="D49" s="22">
        <f t="shared" si="18"/>
        <v>424607.35281954013</v>
      </c>
      <c r="E49" s="22">
        <f t="shared" si="18"/>
        <v>433099.49987593095</v>
      </c>
      <c r="F49" s="22">
        <f t="shared" si="18"/>
        <v>441761.48987344961</v>
      </c>
      <c r="G49" s="22">
        <f t="shared" si="18"/>
        <v>450596.71967091848</v>
      </c>
      <c r="H49" s="22">
        <f t="shared" si="18"/>
        <v>459608.65406433691</v>
      </c>
      <c r="I49" s="22">
        <f t="shared" si="18"/>
        <v>468800.82714562368</v>
      </c>
      <c r="J49" s="22">
        <f t="shared" si="18"/>
        <v>478176.84368853609</v>
      </c>
      <c r="K49" s="23">
        <f t="shared" si="18"/>
        <v>487740.38056230679</v>
      </c>
    </row>
    <row r="50" spans="1:11" ht="13.2" customHeight="1">
      <c r="A50" s="24" t="s">
        <v>1632</v>
      </c>
      <c r="B50" s="25">
        <f t="shared" ref="B50:K50" si="19">$B$15*(1+$B$5)^(B48-1)</f>
        <v>8162.3866362848939</v>
      </c>
      <c r="C50" s="25">
        <f t="shared" si="19"/>
        <v>8325.6343690105896</v>
      </c>
      <c r="D50" s="25">
        <f t="shared" si="19"/>
        <v>8492.1470563908024</v>
      </c>
      <c r="E50" s="25">
        <f t="shared" si="19"/>
        <v>8661.9899975186181</v>
      </c>
      <c r="F50" s="25">
        <f t="shared" si="19"/>
        <v>8835.2297974689918</v>
      </c>
      <c r="G50" s="25">
        <f t="shared" si="19"/>
        <v>9011.9343934183689</v>
      </c>
      <c r="H50" s="25">
        <f t="shared" si="19"/>
        <v>9192.173081286739</v>
      </c>
      <c r="I50" s="25">
        <f t="shared" si="19"/>
        <v>9376.0165429124736</v>
      </c>
      <c r="J50" s="25">
        <f t="shared" si="19"/>
        <v>9563.5368737707213</v>
      </c>
      <c r="K50" s="26">
        <f t="shared" si="19"/>
        <v>9754.8076112461367</v>
      </c>
    </row>
    <row r="51" spans="1:11" ht="13.2" customHeight="1">
      <c r="A51" s="24" t="s">
        <v>3644</v>
      </c>
      <c r="B51" s="25">
        <f t="shared" ref="B51:K51" si="20">-(B49+B50)*$B$8</f>
        <v>-29139.720291537073</v>
      </c>
      <c r="C51" s="25">
        <f t="shared" si="20"/>
        <v>-29722.514697367809</v>
      </c>
      <c r="D51" s="25">
        <f t="shared" si="20"/>
        <v>-30316.96499131517</v>
      </c>
      <c r="E51" s="25">
        <f t="shared" si="20"/>
        <v>-30923.30429114147</v>
      </c>
      <c r="F51" s="25">
        <f t="shared" si="20"/>
        <v>-31541.770376964305</v>
      </c>
      <c r="G51" s="25">
        <f t="shared" si="20"/>
        <v>-32172.605784503583</v>
      </c>
      <c r="H51" s="25">
        <f t="shared" si="20"/>
        <v>-32816.057900193657</v>
      </c>
      <c r="I51" s="25">
        <f t="shared" si="20"/>
        <v>-33472.379058197534</v>
      </c>
      <c r="J51" s="25">
        <f t="shared" si="20"/>
        <v>-34141.826639361476</v>
      </c>
      <c r="K51" s="26">
        <f t="shared" si="20"/>
        <v>-34824.663172148707</v>
      </c>
    </row>
    <row r="52" spans="1:11" ht="13.2"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948</v>
      </c>
      <c r="B54" s="25">
        <f t="shared" ref="B54:K54" si="21">$B$19*(1+$B$6)^(B48-1)</f>
        <v>-281992.62996139773</v>
      </c>
      <c r="C54" s="25">
        <f t="shared" si="21"/>
        <v>-290452.40886023967</v>
      </c>
      <c r="D54" s="25">
        <f t="shared" si="21"/>
        <v>-299165.9811260468</v>
      </c>
      <c r="E54" s="25">
        <f t="shared" si="21"/>
        <v>-308140.96055982821</v>
      </c>
      <c r="F54" s="25">
        <f t="shared" si="21"/>
        <v>-317385.18937662308</v>
      </c>
      <c r="G54" s="25">
        <f t="shared" si="21"/>
        <v>-326906.7450579218</v>
      </c>
      <c r="H54" s="25">
        <f t="shared" si="21"/>
        <v>-336713.94740965939</v>
      </c>
      <c r="I54" s="25">
        <f t="shared" si="21"/>
        <v>-346815.36583194917</v>
      </c>
      <c r="J54" s="25">
        <f t="shared" si="21"/>
        <v>-357219.82680690766</v>
      </c>
      <c r="K54" s="26">
        <f t="shared" si="21"/>
        <v>-367936.42161111487</v>
      </c>
    </row>
    <row r="55" spans="1:11" ht="13.2" customHeight="1">
      <c r="A55" s="24" t="s">
        <v>1746</v>
      </c>
      <c r="B55" s="25">
        <f>IF(AND('Part VII-Pro Forma'!$G$8="Yes",'Part VII-Pro Forma'!$G$9="Yes"),"Choose One!",IF('Part VII-Pro Forma'!$G$8="Yes",ROUND((-$K$8*(1+'Part VII-Pro Forma'!$B$6)^('Part VII-Pro Forma'!B48-1)),),IF('Part VII-Pro Forma'!$G$9="Yes",ROUND((-(SUM(B49:B52)*'Part VII-Pro Forma'!$K$9)),),"Choose mgt fee")))</f>
        <v>-36778</v>
      </c>
      <c r="C55" s="25">
        <f>IF(AND('Part VII-Pro Forma'!$G$8="Yes",'Part VII-Pro Forma'!$G$9="Yes"),"Choose One!",IF('Part VII-Pro Forma'!$G$8="Yes",ROUND((-$K$8*(1+'Part VII-Pro Forma'!$B$6)^('Part VII-Pro Forma'!C48-1)),),IF('Part VII-Pro Forma'!$G$9="Yes",ROUND((-(SUM(C49:C52)*'Part VII-Pro Forma'!$K$9)),),"Choose mgt fee")))</f>
        <v>-37514</v>
      </c>
      <c r="D55" s="25">
        <f>IF(AND('Part VII-Pro Forma'!$G$8="Yes",'Part VII-Pro Forma'!$G$9="Yes"),"Choose One!",IF('Part VII-Pro Forma'!$G$8="Yes",ROUND((-$K$8*(1+'Part VII-Pro Forma'!$B$6)^('Part VII-Pro Forma'!D48-1)),),IF('Part VII-Pro Forma'!$G$9="Yes",ROUND((-(SUM(D49:D52)*'Part VII-Pro Forma'!$K$9)),),"Choose mgt fee")))</f>
        <v>-38264</v>
      </c>
      <c r="E55" s="25">
        <f>IF(AND('Part VII-Pro Forma'!$G$8="Yes",'Part VII-Pro Forma'!$G$9="Yes"),"Choose One!",IF('Part VII-Pro Forma'!$G$8="Yes",ROUND((-$K$8*(1+'Part VII-Pro Forma'!$B$6)^('Part VII-Pro Forma'!E48-1)),),IF('Part VII-Pro Forma'!$G$9="Yes",ROUND((-(SUM(E49:E52)*'Part VII-Pro Forma'!$K$9)),),"Choose mgt fee")))</f>
        <v>-39030</v>
      </c>
      <c r="F55" s="25">
        <f>IF(AND('Part VII-Pro Forma'!$G$8="Yes",'Part VII-Pro Forma'!$G$9="Yes"),"Choose One!",IF('Part VII-Pro Forma'!$G$8="Yes",ROUND((-$K$8*(1+'Part VII-Pro Forma'!$B$6)^('Part VII-Pro Forma'!F48-1)),),IF('Part VII-Pro Forma'!$G$9="Yes",ROUND((-(SUM(F49:F52)*'Part VII-Pro Forma'!$K$9)),),"Choose mgt fee")))</f>
        <v>-39810</v>
      </c>
      <c r="G55" s="25">
        <f>IF(AND('Part VII-Pro Forma'!$G$8="Yes",'Part VII-Pro Forma'!$G$9="Yes"),"Choose One!",IF('Part VII-Pro Forma'!$G$8="Yes",ROUND((-$K$8*(1+'Part VII-Pro Forma'!$B$6)^('Part VII-Pro Forma'!G48-1)),),IF('Part VII-Pro Forma'!$G$9="Yes",ROUND((-(SUM(G49:G52)*'Part VII-Pro Forma'!$K$9)),),"Choose mgt fee")))</f>
        <v>-40606</v>
      </c>
      <c r="H55" s="25">
        <f>IF(AND('Part VII-Pro Forma'!$G$8="Yes",'Part VII-Pro Forma'!$G$9="Yes"),"Choose One!",IF('Part VII-Pro Forma'!$G$8="Yes",ROUND((-$K$8*(1+'Part VII-Pro Forma'!$B$6)^('Part VII-Pro Forma'!H48-1)),),IF('Part VII-Pro Forma'!$G$9="Yes",ROUND((-(SUM(H49:H52)*'Part VII-Pro Forma'!$K$9)),),"Choose mgt fee")))</f>
        <v>-41419</v>
      </c>
      <c r="I55" s="25">
        <f>IF(AND('Part VII-Pro Forma'!$G$8="Yes",'Part VII-Pro Forma'!$G$9="Yes"),"Choose One!",IF('Part VII-Pro Forma'!$G$8="Yes",ROUND((-$K$8*(1+'Part VII-Pro Forma'!$B$6)^('Part VII-Pro Forma'!I48-1)),),IF('Part VII-Pro Forma'!$G$9="Yes",ROUND((-(SUM(I49:I52)*'Part VII-Pro Forma'!$K$9)),),"Choose mgt fee")))</f>
        <v>-42247</v>
      </c>
      <c r="J55" s="25">
        <f>IF(AND('Part VII-Pro Forma'!$G$8="Yes",'Part VII-Pro Forma'!$G$9="Yes"),"Choose One!",IF('Part VII-Pro Forma'!$G$8="Yes",ROUND((-$K$8*(1+'Part VII-Pro Forma'!$B$6)^('Part VII-Pro Forma'!J48-1)),),IF('Part VII-Pro Forma'!$G$9="Yes",ROUND((-(SUM(J49:J52)*'Part VII-Pro Forma'!$K$9)),),"Choose mgt fee")))</f>
        <v>-43092</v>
      </c>
      <c r="K55" s="25">
        <f>IF(AND('Part VII-Pro Forma'!$G$8="Yes",'Part VII-Pro Forma'!$G$9="Yes"),"Choose One!",IF('Part VII-Pro Forma'!$G$8="Yes",ROUND((-$K$8*(1+'Part VII-Pro Forma'!$B$6)^('Part VII-Pro Forma'!K48-1)),),IF('Part VII-Pro Forma'!$G$9="Yes",ROUND((-(SUM(K49:K52)*'Part VII-Pro Forma'!$K$9)),),"Choose mgt fee")))</f>
        <v>-43954</v>
      </c>
    </row>
    <row r="56" spans="1:11" ht="13.2" customHeight="1">
      <c r="A56" s="24" t="s">
        <v>1862</v>
      </c>
      <c r="B56" s="25">
        <f t="shared" ref="B56:K56" si="22">$B$21*(1+$B$7)^(B48-1)</f>
        <v>-20158.745690161828</v>
      </c>
      <c r="C56" s="25">
        <f t="shared" si="22"/>
        <v>-20763.508060866683</v>
      </c>
      <c r="D56" s="25">
        <f t="shared" si="22"/>
        <v>-21386.413302692679</v>
      </c>
      <c r="E56" s="25">
        <f t="shared" si="22"/>
        <v>-22028.005701773458</v>
      </c>
      <c r="F56" s="25">
        <f t="shared" si="22"/>
        <v>-22688.845872826667</v>
      </c>
      <c r="G56" s="25">
        <f t="shared" si="22"/>
        <v>-23369.511249011466</v>
      </c>
      <c r="H56" s="25">
        <f t="shared" si="22"/>
        <v>-24070.596586481806</v>
      </c>
      <c r="I56" s="25">
        <f t="shared" si="22"/>
        <v>-24792.714484076259</v>
      </c>
      <c r="J56" s="25">
        <f t="shared" si="22"/>
        <v>-25536.49591859855</v>
      </c>
      <c r="K56" s="26">
        <f t="shared" si="22"/>
        <v>-26302.590796156503</v>
      </c>
    </row>
    <row r="57" spans="1:11" ht="13.2" customHeight="1">
      <c r="A57" s="24" t="s">
        <v>1863</v>
      </c>
      <c r="B57" s="25">
        <f t="shared" ref="B57:K57" si="23">SUM(B49:B56)</f>
        <v>48212.622507432941</v>
      </c>
      <c r="C57" s="25">
        <f t="shared" si="23"/>
        <v>46154.921201065932</v>
      </c>
      <c r="D57" s="25">
        <f t="shared" si="23"/>
        <v>43966.140455876324</v>
      </c>
      <c r="E57" s="25">
        <f t="shared" si="23"/>
        <v>41639.219320706434</v>
      </c>
      <c r="F57" s="25">
        <f t="shared" si="23"/>
        <v>39170.914044504549</v>
      </c>
      <c r="G57" s="25">
        <f t="shared" si="23"/>
        <v>36553.791972900013</v>
      </c>
      <c r="H57" s="25">
        <f t="shared" si="23"/>
        <v>33781.225249288756</v>
      </c>
      <c r="I57" s="25">
        <f t="shared" si="23"/>
        <v>30849.384314313171</v>
      </c>
      <c r="J57" s="25">
        <f t="shared" si="23"/>
        <v>27750.231197439076</v>
      </c>
      <c r="K57" s="26">
        <f t="shared" si="23"/>
        <v>24477.512594132852</v>
      </c>
    </row>
    <row r="58" spans="1:11" ht="13.2"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A</v>
      </c>
      <c r="B60" s="822">
        <f>IF('Part III A-Sources of Funds'!$M$33="", 0,-'Part III A-Sources of Funds'!$M$33)</f>
        <v>0</v>
      </c>
      <c r="C60" s="822">
        <f>IF('Part III A-Sources of Funds'!$M$33="", 0,-'Part III A-Sources of Funds'!$M$33)</f>
        <v>0</v>
      </c>
      <c r="D60" s="822">
        <f>IF('Part III A-Sources of Funds'!$M$33="", 0,-'Part III A-Sources of Funds'!$M$33)</f>
        <v>0</v>
      </c>
      <c r="E60" s="822">
        <f>IF('Part III A-Sources of Funds'!$M$33="", 0,-'Part III A-Sources of Funds'!$M$33)</f>
        <v>0</v>
      </c>
      <c r="F60" s="822">
        <f>IF('Part III A-Sources of Funds'!$M$33="", 0,-'Part III A-Sources of Funds'!$M$33)</f>
        <v>0</v>
      </c>
      <c r="G60" s="822">
        <f>IF('Part III A-Sources of Funds'!$M$33="", 0,-'Part III A-Sources of Funds'!$M$33)</f>
        <v>0</v>
      </c>
      <c r="H60" s="822">
        <f>IF('Part III A-Sources of Funds'!$M$33="", 0,-'Part III A-Sources of Funds'!$M$33)</f>
        <v>0</v>
      </c>
      <c r="I60" s="822">
        <f>IF('Part III A-Sources of Funds'!$M$33="", 0,-'Part III A-Sources of Funds'!$M$33)</f>
        <v>0</v>
      </c>
      <c r="J60" s="822">
        <f>IF('Part III A-Sources of Funds'!$M$33="", 0,-'Part III A-Sources of Funds'!$M$33)</f>
        <v>0</v>
      </c>
      <c r="K60" s="822">
        <f>IF('Part III A-Sources of Funds'!$M$33="", 0,-'Part III A-Sources of Funds'!$M$33)</f>
        <v>0</v>
      </c>
    </row>
    <row r="61" spans="1:11" ht="13.2" customHeight="1">
      <c r="A61" s="24" t="str">
        <f t="shared" si="24"/>
        <v>D/S Mortgage B</v>
      </c>
      <c r="B61" s="822">
        <f>IF('Part III A-Sources of Funds'!$M$34="", 0,-'Part III A-Sources of Funds'!$M$34)</f>
        <v>0</v>
      </c>
      <c r="C61" s="822">
        <f>IF('Part III A-Sources of Funds'!$M$34="", 0,-'Part III A-Sources of Funds'!$M$34)</f>
        <v>0</v>
      </c>
      <c r="D61" s="822">
        <f>IF('Part III A-Sources of Funds'!$M$34="", 0,-'Part III A-Sources of Funds'!$M$34)</f>
        <v>0</v>
      </c>
      <c r="E61" s="822">
        <f>IF('Part III A-Sources of Funds'!$M$34="", 0,-'Part III A-Sources of Funds'!$M$34)</f>
        <v>0</v>
      </c>
      <c r="F61" s="822">
        <f>IF('Part III A-Sources of Funds'!$M$34="", 0,-'Part III A-Sources of Funds'!$M$34)</f>
        <v>0</v>
      </c>
      <c r="G61" s="822">
        <f>IF('Part III A-Sources of Funds'!$M$34="", 0,-'Part III A-Sources of Funds'!$M$34)</f>
        <v>0</v>
      </c>
      <c r="H61" s="822">
        <f>IF('Part III A-Sources of Funds'!$M$34="", 0,-'Part III A-Sources of Funds'!$M$34)</f>
        <v>0</v>
      </c>
      <c r="I61" s="822">
        <f>IF('Part III A-Sources of Funds'!$M$34="", 0,-'Part III A-Sources of Funds'!$M$34)</f>
        <v>0</v>
      </c>
      <c r="J61" s="822">
        <f>IF('Part III A-Sources of Funds'!$M$34="", 0,-'Part III A-Sources of Funds'!$M$34)</f>
        <v>0</v>
      </c>
      <c r="K61" s="822">
        <f>IF('Part III A-Sources of Funds'!$M$34="", 0,-'Part III A-Sources of Funds'!$M$34)</f>
        <v>0</v>
      </c>
    </row>
    <row r="62" spans="1:11" ht="13.2" customHeight="1">
      <c r="A62" s="24" t="str">
        <f t="shared" si="24"/>
        <v>D/S Other Source</v>
      </c>
      <c r="B62" s="822">
        <f>IF('Part III A-Sources of Funds'!$M$35="", 0,-'Part III A-Sources of Funds'!$M$35)</f>
        <v>0</v>
      </c>
      <c r="C62" s="822">
        <f>IF('Part III A-Sources of Funds'!$M$35="", 0,-'Part III A-Sources of Funds'!$M$35)</f>
        <v>0</v>
      </c>
      <c r="D62" s="822">
        <f>IF('Part III A-Sources of Funds'!$M$35="", 0,-'Part III A-Sources of Funds'!$M$35)</f>
        <v>0</v>
      </c>
      <c r="E62" s="822">
        <f>IF('Part III A-Sources of Funds'!$M$35="", 0,-'Part III A-Sources of Funds'!$M$35)</f>
        <v>0</v>
      </c>
      <c r="F62" s="822">
        <f>IF('Part III A-Sources of Funds'!$M$35="", 0,-'Part III A-Sources of Funds'!$M$35)</f>
        <v>0</v>
      </c>
      <c r="G62" s="822">
        <f>IF('Part III A-Sources of Funds'!$M$35="", 0,-'Part III A-Sources of Funds'!$M$35)</f>
        <v>0</v>
      </c>
      <c r="H62" s="822">
        <f>IF('Part III A-Sources of Funds'!$M$35="", 0,-'Part III A-Sources of Funds'!$M$35)</f>
        <v>0</v>
      </c>
      <c r="I62" s="822">
        <f>IF('Part III A-Sources of Funds'!$M$35="", 0,-'Part III A-Sources of Funds'!$M$35)</f>
        <v>0</v>
      </c>
      <c r="J62" s="822">
        <f>IF('Part III A-Sources of Funds'!$M$35="", 0,-'Part III A-Sources of Funds'!$M$35)</f>
        <v>0</v>
      </c>
      <c r="K62" s="822">
        <f>IF('Part III A-Sources of Funds'!$M$35="", 0,-'Part III A-Sources of Funds'!$M$35)</f>
        <v>0</v>
      </c>
    </row>
    <row r="63" spans="1:11" ht="13.2" customHeight="1">
      <c r="A63" s="24" t="str">
        <f t="shared" si="24"/>
        <v>D/S Grant from fdn / charity</v>
      </c>
      <c r="B63" s="822">
        <f>IF('Part III A-Sources of Funds'!$M$36="", 0,-'Part III A-Sources of Funds'!$M$36)</f>
        <v>0</v>
      </c>
      <c r="C63" s="822">
        <f>IF('Part III A-Sources of Funds'!$M$36="", 0,-'Part III A-Sources of Funds'!$M$36)</f>
        <v>0</v>
      </c>
      <c r="D63" s="822">
        <f>IF('Part III A-Sources of Funds'!$M$36="", 0,-'Part III A-Sources of Funds'!$M$36)</f>
        <v>0</v>
      </c>
      <c r="E63" s="822">
        <f>IF('Part III A-Sources of Funds'!$M$36="", 0,-'Part III A-Sources of Funds'!$M$36)</f>
        <v>0</v>
      </c>
      <c r="F63" s="822">
        <f>IF('Part III A-Sources of Funds'!$M$36="", 0,-'Part III A-Sources of Funds'!$M$36)</f>
        <v>0</v>
      </c>
      <c r="G63" s="822">
        <f>IF('Part III A-Sources of Funds'!$M$36="", 0,-'Part III A-Sources of Funds'!$M$36)</f>
        <v>0</v>
      </c>
      <c r="H63" s="822">
        <f>IF('Part III A-Sources of Funds'!$M$36="", 0,-'Part III A-Sources of Funds'!$M$36)</f>
        <v>0</v>
      </c>
      <c r="I63" s="822">
        <f>IF('Part III A-Sources of Funds'!$M$36="", 0,-'Part III A-Sources of Funds'!$M$36)</f>
        <v>0</v>
      </c>
      <c r="J63" s="822">
        <f>IF('Part III A-Sources of Funds'!$M$36="", 0,-'Part III A-Sources of Funds'!$M$36)</f>
        <v>0</v>
      </c>
      <c r="K63" s="822">
        <f>IF('Part III A-Sources of Funds'!$M$36="", 0,-'Part III A-Sources of Funds'!$M$36)</f>
        <v>0</v>
      </c>
    </row>
    <row r="64" spans="1:11" ht="13.2" customHeight="1">
      <c r="A64" s="24" t="s">
        <v>1336</v>
      </c>
      <c r="B64" s="823"/>
      <c r="C64" s="823"/>
      <c r="D64" s="823"/>
      <c r="E64" s="823"/>
      <c r="F64" s="823"/>
      <c r="G64" s="823"/>
      <c r="H64" s="823"/>
      <c r="I64" s="823"/>
      <c r="J64" s="823"/>
      <c r="K64" s="823"/>
    </row>
    <row r="65" spans="1:11" ht="13.2" customHeight="1">
      <c r="A65" s="24" t="s">
        <v>1807</v>
      </c>
      <c r="B65" s="822">
        <f>+K30</f>
        <v>-5000</v>
      </c>
      <c r="C65" s="822">
        <f t="shared" ref="C65:K65" si="25">+B65</f>
        <v>-5000</v>
      </c>
      <c r="D65" s="822">
        <f t="shared" si="25"/>
        <v>-5000</v>
      </c>
      <c r="E65" s="822">
        <f t="shared" si="25"/>
        <v>-5000</v>
      </c>
      <c r="F65" s="822">
        <f t="shared" si="25"/>
        <v>-5000</v>
      </c>
      <c r="G65" s="822">
        <f t="shared" si="25"/>
        <v>-5000</v>
      </c>
      <c r="H65" s="822">
        <f t="shared" si="25"/>
        <v>-5000</v>
      </c>
      <c r="I65" s="822">
        <f t="shared" si="25"/>
        <v>-5000</v>
      </c>
      <c r="J65" s="822">
        <f t="shared" si="25"/>
        <v>-5000</v>
      </c>
      <c r="K65" s="822">
        <f t="shared" si="25"/>
        <v>-5000</v>
      </c>
    </row>
    <row r="66" spans="1:11" ht="13.2" customHeight="1">
      <c r="A66" s="24" t="s">
        <v>1864</v>
      </c>
      <c r="B66" s="822">
        <f>IF('Part III A-Sources of Funds'!$M$37="", 0,-'Part III A-Sources of Funds'!$M$37)</f>
        <v>0</v>
      </c>
      <c r="C66" s="822">
        <f>IF('Part III A-Sources of Funds'!$M$37="", 0,-'Part III A-Sources of Funds'!$M$37)</f>
        <v>0</v>
      </c>
      <c r="D66" s="822">
        <f>IF('Part III A-Sources of Funds'!$M$37="", 0,-'Part III A-Sources of Funds'!$M$37)</f>
        <v>0</v>
      </c>
      <c r="E66" s="822">
        <f>IF('Part III A-Sources of Funds'!$M$37="", 0,-'Part III A-Sources of Funds'!$M$37)</f>
        <v>0</v>
      </c>
      <c r="F66" s="822">
        <f>IF('Part III A-Sources of Funds'!$M$37="", 0,-'Part III A-Sources of Funds'!$M$37)</f>
        <v>0</v>
      </c>
      <c r="G66" s="822">
        <f>IF('Part III A-Sources of Funds'!$M$37="", 0,-'Part III A-Sources of Funds'!$M$37)</f>
        <v>0</v>
      </c>
      <c r="H66" s="822">
        <f>IF('Part III A-Sources of Funds'!$M$37="", 0,-'Part III A-Sources of Funds'!$M$37)</f>
        <v>0</v>
      </c>
      <c r="I66" s="822">
        <f>IF('Part III A-Sources of Funds'!$M$37="", 0,-'Part III A-Sources of Funds'!$M$37)</f>
        <v>0</v>
      </c>
      <c r="J66" s="822">
        <f>IF('Part III A-Sources of Funds'!$M$37="", 0,-'Part III A-Sources of Funds'!$M$37)</f>
        <v>0</v>
      </c>
      <c r="K66" s="822">
        <f>IF('Part III A-Sources of Funds'!$M$37="", 0,-'Part III A-Sources of Funds'!$M$37)</f>
        <v>0</v>
      </c>
    </row>
    <row r="67" spans="1:11" ht="13.2" customHeight="1">
      <c r="A67" s="24" t="s">
        <v>1808</v>
      </c>
      <c r="B67" s="824">
        <f>+K32</f>
        <v>0</v>
      </c>
      <c r="C67" s="824">
        <f t="shared" ref="C67:K67" si="26">+B67</f>
        <v>0</v>
      </c>
      <c r="D67" s="824">
        <f t="shared" si="26"/>
        <v>0</v>
      </c>
      <c r="E67" s="824">
        <f t="shared" si="26"/>
        <v>0</v>
      </c>
      <c r="F67" s="824">
        <f t="shared" si="26"/>
        <v>0</v>
      </c>
      <c r="G67" s="824">
        <f t="shared" si="26"/>
        <v>0</v>
      </c>
      <c r="H67" s="824">
        <f t="shared" si="26"/>
        <v>0</v>
      </c>
      <c r="I67" s="824">
        <f t="shared" si="26"/>
        <v>0</v>
      </c>
      <c r="J67" s="824">
        <f t="shared" si="26"/>
        <v>0</v>
      </c>
      <c r="K67" s="824">
        <f t="shared" si="26"/>
        <v>0</v>
      </c>
    </row>
    <row r="68" spans="1:11" ht="13.2" customHeight="1">
      <c r="A68" s="24" t="s">
        <v>1809</v>
      </c>
      <c r="B68" s="25">
        <f t="shared" ref="B68:K68" si="27">SUM(B57:B67)</f>
        <v>43212.622507432941</v>
      </c>
      <c r="C68" s="25">
        <f t="shared" si="27"/>
        <v>41154.921201065932</v>
      </c>
      <c r="D68" s="25">
        <f t="shared" si="27"/>
        <v>38966.140455876324</v>
      </c>
      <c r="E68" s="25">
        <f t="shared" si="27"/>
        <v>36639.219320706434</v>
      </c>
      <c r="F68" s="25">
        <f t="shared" si="27"/>
        <v>34170.914044504549</v>
      </c>
      <c r="G68" s="25">
        <f t="shared" si="27"/>
        <v>31553.791972900013</v>
      </c>
      <c r="H68" s="25">
        <f t="shared" si="27"/>
        <v>28781.225249288756</v>
      </c>
      <c r="I68" s="25">
        <f t="shared" si="27"/>
        <v>25849.384314313171</v>
      </c>
      <c r="J68" s="25">
        <f t="shared" si="27"/>
        <v>22750.231197439076</v>
      </c>
      <c r="K68" s="23">
        <f t="shared" si="27"/>
        <v>19477.512594132852</v>
      </c>
    </row>
    <row r="69" spans="1:11" ht="13.2"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2"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2" customHeight="1">
      <c r="A71" s="24" t="str">
        <f t="shared" si="28"/>
        <v>DCR First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2"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2"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2"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2" customHeight="1">
      <c r="A75" s="24" t="s">
        <v>1345</v>
      </c>
      <c r="B75" s="379">
        <f>IF(OR(B55="Choose mgt fee",B55="Choose One!"),"",(B49+B50+B51+B52+B53) / -(B54+B55+B56))</f>
        <v>1.1422497604840205</v>
      </c>
      <c r="C75" s="379">
        <f t="shared" ref="C75:K75" si="35">IF(OR(C55="Choose mgt fee",C55="Choose One!"),"",(C49+C50+C51+C52+C53) / -(C54+C55+C56))</f>
        <v>1.1323514816525122</v>
      </c>
      <c r="D75" s="379">
        <f t="shared" si="35"/>
        <v>1.1225310246090439</v>
      </c>
      <c r="E75" s="379">
        <f t="shared" si="35"/>
        <v>1.1127825999686096</v>
      </c>
      <c r="F75" s="379">
        <f t="shared" si="35"/>
        <v>1.1031128197287445</v>
      </c>
      <c r="G75" s="379">
        <f t="shared" si="35"/>
        <v>1.0935161199647723</v>
      </c>
      <c r="H75" s="379">
        <f t="shared" si="35"/>
        <v>1.0839903719237562</v>
      </c>
      <c r="I75" s="379">
        <f t="shared" si="35"/>
        <v>1.0745415141231471</v>
      </c>
      <c r="J75" s="379">
        <f t="shared" si="35"/>
        <v>1.0651645896356539</v>
      </c>
      <c r="K75" s="380">
        <f t="shared" si="35"/>
        <v>1.0558601162069254</v>
      </c>
    </row>
    <row r="76" spans="1:11" ht="13.2" customHeight="1">
      <c r="A76" s="24" t="str">
        <f>IF('Part III A-Sources of Funds'!$E$32 = "Neither", "", "First Mortgage Balance")</f>
        <v/>
      </c>
      <c r="B76" s="825">
        <f>IF('Part III A-Sources of Funds'!$H$32="","",-FV('Part III A-Sources of Funds'!$J$32/12,12,B58/12,K41))</f>
        <v>0</v>
      </c>
      <c r="C76" s="825">
        <f>IF('Part III A-Sources of Funds'!$H$32="","",-FV('Part III A-Sources of Funds'!$J$32/12,12,C58/12,B76))</f>
        <v>0</v>
      </c>
      <c r="D76" s="825">
        <f>IF('Part III A-Sources of Funds'!$H$32="","",-FV('Part III A-Sources of Funds'!$J$32/12,12,D58/12,C76))</f>
        <v>0</v>
      </c>
      <c r="E76" s="825">
        <f>IF('Part III A-Sources of Funds'!$H$32="","",-FV('Part III A-Sources of Funds'!$J$32/12,12,E58/12,D76))</f>
        <v>0</v>
      </c>
      <c r="F76" s="825">
        <f>IF('Part III A-Sources of Funds'!$H$32="","",-FV('Part III A-Sources of Funds'!$J$32/12,12,F58/12,E76))</f>
        <v>0</v>
      </c>
      <c r="G76" s="825">
        <f>IF('Part III A-Sources of Funds'!$H$32="","",-FV('Part III A-Sources of Funds'!$J$32/12,12,G58/12,F76))</f>
        <v>0</v>
      </c>
      <c r="H76" s="825">
        <f>IF('Part III A-Sources of Funds'!$H$32="","",-FV('Part III A-Sources of Funds'!$J$32/12,12,H58/12,G76))</f>
        <v>0</v>
      </c>
      <c r="I76" s="825">
        <f>IF('Part III A-Sources of Funds'!$H$32="","",-FV('Part III A-Sources of Funds'!$J$32/12,12,I58/12,H76))</f>
        <v>0</v>
      </c>
      <c r="J76" s="825">
        <f>IF('Part III A-Sources of Funds'!$H$32="","",-FV('Part III A-Sources of Funds'!$J$32/12,12,J58/12,I76))</f>
        <v>0</v>
      </c>
      <c r="K76" s="825">
        <f>IF('Part III A-Sources of Funds'!$H$32="","",-FV('Part III A-Sources of Funds'!$J$32/12,12,K58/12,J76))</f>
        <v>0</v>
      </c>
    </row>
    <row r="77" spans="1:11" ht="13.2" customHeight="1">
      <c r="A77" s="24" t="str">
        <f>IF('Part III A-Sources of Funds'!$E$32 = "Neither", "First Mortgage Balance", "Second Mortgage Balance")</f>
        <v>First Mortgage Balance</v>
      </c>
      <c r="B77" s="822" t="str">
        <f>IF('Part III A-Sources of Funds'!$H$33="","",-FV('Part III A-Sources of Funds'!$J$33/12,12,B60/12,K42))</f>
        <v/>
      </c>
      <c r="C77" s="822" t="str">
        <f>IF('Part III A-Sources of Funds'!$H$33="","",-FV('Part III A-Sources of Funds'!$J$33/12,12,C60/12,B77))</f>
        <v/>
      </c>
      <c r="D77" s="822" t="str">
        <f>IF('Part III A-Sources of Funds'!$H$33="","",-FV('Part III A-Sources of Funds'!$J$33/12,12,D60/12,C77))</f>
        <v/>
      </c>
      <c r="E77" s="822" t="str">
        <f>IF('Part III A-Sources of Funds'!$H$33="","",-FV('Part III A-Sources of Funds'!$J$33/12,12,E60/12,D77))</f>
        <v/>
      </c>
      <c r="F77" s="822" t="str">
        <f>IF('Part III A-Sources of Funds'!$H$33="","",-FV('Part III A-Sources of Funds'!$J$33/12,12,F60/12,E77))</f>
        <v/>
      </c>
      <c r="G77" s="822" t="str">
        <f>IF('Part III A-Sources of Funds'!$H$33="","",-FV('Part III A-Sources of Funds'!$J$33/12,12,G60/12,F77))</f>
        <v/>
      </c>
      <c r="H77" s="822" t="str">
        <f>IF('Part III A-Sources of Funds'!$H$33="","",-FV('Part III A-Sources of Funds'!$J$33/12,12,H60/12,G77))</f>
        <v/>
      </c>
      <c r="I77" s="822" t="str">
        <f>IF('Part III A-Sources of Funds'!$H$33="","",-FV('Part III A-Sources of Funds'!$J$33/12,12,I60/12,H77))</f>
        <v/>
      </c>
      <c r="J77" s="822" t="str">
        <f>IF('Part III A-Sources of Funds'!$H$33="","",-FV('Part III A-Sources of Funds'!$J$33/12,12,J60/12,I77))</f>
        <v/>
      </c>
      <c r="K77" s="822" t="str">
        <f>IF('Part III A-Sources of Funds'!$H$33="","",-FV('Part III A-Sources of Funds'!$J$33/12,12,K60/12,J77))</f>
        <v/>
      </c>
    </row>
    <row r="78" spans="1:11" ht="13.2" customHeight="1">
      <c r="A78" s="24" t="str">
        <f>IF('Part III A-Sources of Funds'!$E$32 = "Neither", "Second Mortgage Balance", "Third Mortgage Balance")</f>
        <v>Second Mortgage Balance</v>
      </c>
      <c r="B78" s="822" t="str">
        <f>IF('Part III A-Sources of Funds'!$H$34="","",-FV('Part III A-Sources of Funds'!$J$34/12,12,B61/12,K43))</f>
        <v/>
      </c>
      <c r="C78" s="822" t="str">
        <f>IF('Part III A-Sources of Funds'!$H$34="","",-FV('Part III A-Sources of Funds'!$J$34/12,12,C61/12,B78))</f>
        <v/>
      </c>
      <c r="D78" s="822" t="str">
        <f>IF('Part III A-Sources of Funds'!$H$34="","",-FV('Part III A-Sources of Funds'!$J$34/12,12,D61/12,C78))</f>
        <v/>
      </c>
      <c r="E78" s="822" t="str">
        <f>IF('Part III A-Sources of Funds'!$H$34="","",-FV('Part III A-Sources of Funds'!$J$34/12,12,E61/12,D78))</f>
        <v/>
      </c>
      <c r="F78" s="822" t="str">
        <f>IF('Part III A-Sources of Funds'!$H$34="","",-FV('Part III A-Sources of Funds'!$J$34/12,12,F61/12,E78))</f>
        <v/>
      </c>
      <c r="G78" s="822" t="str">
        <f>IF('Part III A-Sources of Funds'!$H$34="","",-FV('Part III A-Sources of Funds'!$J$34/12,12,G61/12,F78))</f>
        <v/>
      </c>
      <c r="H78" s="822" t="str">
        <f>IF('Part III A-Sources of Funds'!$H$34="","",-FV('Part III A-Sources of Funds'!$J$34/12,12,H61/12,G78))</f>
        <v/>
      </c>
      <c r="I78" s="822" t="str">
        <f>IF('Part III A-Sources of Funds'!$H$34="","",-FV('Part III A-Sources of Funds'!$J$34/12,12,I61/12,H78))</f>
        <v/>
      </c>
      <c r="J78" s="822" t="str">
        <f>IF('Part III A-Sources of Funds'!$H$34="","",-FV('Part III A-Sources of Funds'!$J$34/12,12,J61/12,I78))</f>
        <v/>
      </c>
      <c r="K78" s="822" t="str">
        <f>IF('Part III A-Sources of Funds'!$H$34="","",-FV('Part III A-Sources of Funds'!$J$34/12,12,K61/12,J78))</f>
        <v/>
      </c>
    </row>
    <row r="79" spans="1:11" ht="13.2" customHeight="1">
      <c r="A79" s="24" t="s">
        <v>1364</v>
      </c>
      <c r="B79" s="822" t="str">
        <f>IF('Part III A-Sources of Funds'!$H$35="","",-FV('Part III A-Sources of Funds'!$J$35/12,12,B62/12,K44))</f>
        <v/>
      </c>
      <c r="C79" s="822" t="str">
        <f>IF('Part III A-Sources of Funds'!$H$35="","",-FV('Part III A-Sources of Funds'!$J$35/12,12,C62/12,B79))</f>
        <v/>
      </c>
      <c r="D79" s="822" t="str">
        <f>IF('Part III A-Sources of Funds'!$H$35="","",-FV('Part III A-Sources of Funds'!$J$35/12,12,D62/12,C79))</f>
        <v/>
      </c>
      <c r="E79" s="822" t="str">
        <f>IF('Part III A-Sources of Funds'!$H$35="","",-FV('Part III A-Sources of Funds'!$J$35/12,12,E62/12,D79))</f>
        <v/>
      </c>
      <c r="F79" s="822" t="str">
        <f>IF('Part III A-Sources of Funds'!$H$35="","",-FV('Part III A-Sources of Funds'!$J$35/12,12,F62/12,E79))</f>
        <v/>
      </c>
      <c r="G79" s="822" t="str">
        <f>IF('Part III A-Sources of Funds'!$H$35="","",-FV('Part III A-Sources of Funds'!$J$35/12,12,G62/12,F79))</f>
        <v/>
      </c>
      <c r="H79" s="822" t="str">
        <f>IF('Part III A-Sources of Funds'!$H$35="","",-FV('Part III A-Sources of Funds'!$J$35/12,12,H62/12,G79))</f>
        <v/>
      </c>
      <c r="I79" s="822" t="str">
        <f>IF('Part III A-Sources of Funds'!$H$35="","",-FV('Part III A-Sources of Funds'!$J$35/12,12,I62/12,H79))</f>
        <v/>
      </c>
      <c r="J79" s="822" t="str">
        <f>IF('Part III A-Sources of Funds'!$H$35="","",-FV('Part III A-Sources of Funds'!$J$35/12,12,J62/12,I79))</f>
        <v/>
      </c>
      <c r="K79" s="822" t="str">
        <f>IF('Part III A-Sources of Funds'!$H$35="","",-FV('Part III A-Sources of Funds'!$J$35/12,12,K62/12,J79))</f>
        <v/>
      </c>
    </row>
    <row r="80" spans="1:11" ht="13.2" customHeight="1">
      <c r="A80" s="24" t="s">
        <v>1364</v>
      </c>
      <c r="B80" s="822" t="str">
        <f>IF('Part III A-Sources of Funds'!$H$36="","",-FV('Part III A-Sources of Funds'!$J$36/12,12,B63/12,K45))</f>
        <v/>
      </c>
      <c r="C80" s="822" t="str">
        <f>IF('Part III A-Sources of Funds'!$H$36="","",-FV('Part III A-Sources of Funds'!$J$36/12,12,C63/12,B80))</f>
        <v/>
      </c>
      <c r="D80" s="822" t="str">
        <f>IF('Part III A-Sources of Funds'!$H$36="","",-FV('Part III A-Sources of Funds'!$J$36/12,12,D63/12,C80))</f>
        <v/>
      </c>
      <c r="E80" s="822" t="str">
        <f>IF('Part III A-Sources of Funds'!$H$36="","",-FV('Part III A-Sources of Funds'!$J$36/12,12,E63/12,D80))</f>
        <v/>
      </c>
      <c r="F80" s="822" t="str">
        <f>IF('Part III A-Sources of Funds'!$H$36="","",-FV('Part III A-Sources of Funds'!$J$36/12,12,F63/12,E80))</f>
        <v/>
      </c>
      <c r="G80" s="822" t="str">
        <f>IF('Part III A-Sources of Funds'!$H$36="","",-FV('Part III A-Sources of Funds'!$J$36/12,12,G63/12,F80))</f>
        <v/>
      </c>
      <c r="H80" s="822" t="str">
        <f>IF('Part III A-Sources of Funds'!$H$36="","",-FV('Part III A-Sources of Funds'!$J$36/12,12,H63/12,G80))</f>
        <v/>
      </c>
      <c r="I80" s="822" t="str">
        <f>IF('Part III A-Sources of Funds'!$H$36="","",-FV('Part III A-Sources of Funds'!$J$36/12,12,I63/12,H80))</f>
        <v/>
      </c>
      <c r="J80" s="822" t="str">
        <f>IF('Part III A-Sources of Funds'!$H$36="","",-FV('Part III A-Sources of Funds'!$J$36/12,12,J63/12,I80))</f>
        <v/>
      </c>
      <c r="K80" s="822" t="str">
        <f>IF('Part III A-Sources of Funds'!$H$36="","",-FV('Part III A-Sources of Funds'!$J$36/12,12,K63/12,J80))</f>
        <v/>
      </c>
    </row>
    <row r="81" spans="1:11" ht="13.2" customHeight="1">
      <c r="A81" s="29" t="s">
        <v>1899</v>
      </c>
      <c r="B81" s="824">
        <f>IF('Part III A-Sources of Funds'!$H$37="","",-FV('Part III A-Sources of Funds'!$J$37/12,12,B66/12,K46))</f>
        <v>2.9103830456733704E-11</v>
      </c>
      <c r="C81" s="824">
        <f>IF('Part III A-Sources of Funds'!$H$37="","",-FV('Part III A-Sources of Funds'!$J$37/12,12,C66/12,B81))</f>
        <v>2.9103830456733704E-11</v>
      </c>
      <c r="D81" s="824">
        <f>IF('Part III A-Sources of Funds'!$H$37="","",-FV('Part III A-Sources of Funds'!$J$37/12,12,D66/12,C81))</f>
        <v>2.9103830456733704E-11</v>
      </c>
      <c r="E81" s="824">
        <f>IF('Part III A-Sources of Funds'!$H$37="","",-FV('Part III A-Sources of Funds'!$J$37/12,12,E66/12,D81))</f>
        <v>2.9103830456733704E-11</v>
      </c>
      <c r="F81" s="824">
        <f>IF('Part III A-Sources of Funds'!$H$37="","",-FV('Part III A-Sources of Funds'!$J$37/12,12,F66/12,E81))</f>
        <v>2.9103830456733704E-11</v>
      </c>
      <c r="G81" s="824">
        <f>IF('Part III A-Sources of Funds'!$H$37="","",-FV('Part III A-Sources of Funds'!$J$37/12,12,G66/12,F81))</f>
        <v>2.9103830456733704E-11</v>
      </c>
      <c r="H81" s="824">
        <f>IF('Part III A-Sources of Funds'!$H$37="","",-FV('Part III A-Sources of Funds'!$J$37/12,12,H66/12,G81))</f>
        <v>2.9103830456733704E-11</v>
      </c>
      <c r="I81" s="824">
        <f>IF('Part III A-Sources of Funds'!$H$37="","",-FV('Part III A-Sources of Funds'!$J$37/12,12,I66/12,H81))</f>
        <v>2.9103830456733704E-11</v>
      </c>
      <c r="J81" s="824">
        <f>IF('Part III A-Sources of Funds'!$H$37="","",-FV('Part III A-Sources of Funds'!$J$37/12,12,J66/12,I81))</f>
        <v>2.9103830456733704E-11</v>
      </c>
      <c r="K81" s="824">
        <f>IF('Part III A-Sources of Funds'!$H$37="","",-FV('Part III A-Sources of Funds'!$J$37/12,12,K66/12,J81))</f>
        <v>2.9103830456733704E-11</v>
      </c>
    </row>
    <row r="82" spans="1:11" ht="4.2" customHeight="1">
      <c r="B82" s="20"/>
      <c r="C82" s="20"/>
      <c r="D82" s="20"/>
      <c r="E82" s="20"/>
      <c r="F82" s="20"/>
      <c r="G82" s="20"/>
      <c r="H82" s="20"/>
      <c r="I82" s="20"/>
      <c r="J82" s="20"/>
      <c r="K82" s="20"/>
    </row>
    <row r="83" spans="1:11" ht="14.4"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2" customHeight="1">
      <c r="A84" s="21" t="s">
        <v>3643</v>
      </c>
      <c r="B84" s="22">
        <f t="shared" ref="B84:K84" si="37">$B$14*(1+$B$5)^(B83-1)</f>
        <v>497495.18817355298</v>
      </c>
      <c r="C84" s="22">
        <f t="shared" si="37"/>
        <v>507445.09193702403</v>
      </c>
      <c r="D84" s="22">
        <f t="shared" si="37"/>
        <v>517593.99377576454</v>
      </c>
      <c r="E84" s="22">
        <f t="shared" si="37"/>
        <v>527945.87365127972</v>
      </c>
      <c r="F84" s="22">
        <f t="shared" si="37"/>
        <v>538504.79112430534</v>
      </c>
      <c r="G84" s="22">
        <f t="shared" si="37"/>
        <v>549274.88694679143</v>
      </c>
      <c r="H84" s="22">
        <f t="shared" si="37"/>
        <v>560260.3846857273</v>
      </c>
      <c r="I84" s="22">
        <f t="shared" si="37"/>
        <v>571465.59237944183</v>
      </c>
      <c r="J84" s="22">
        <f t="shared" si="37"/>
        <v>582894.9042270307</v>
      </c>
      <c r="K84" s="23">
        <f t="shared" si="37"/>
        <v>594552.80231157131</v>
      </c>
    </row>
    <row r="85" spans="1:11" ht="13.2" customHeight="1">
      <c r="A85" s="24" t="s">
        <v>1632</v>
      </c>
      <c r="B85" s="25">
        <f t="shared" ref="B85:K85" si="38">$B$15*(1+$B$5)^(B83-1)</f>
        <v>9949.9037634710603</v>
      </c>
      <c r="C85" s="25">
        <f t="shared" si="38"/>
        <v>10148.901838740481</v>
      </c>
      <c r="D85" s="25">
        <f t="shared" si="38"/>
        <v>10351.879875515291</v>
      </c>
      <c r="E85" s="25">
        <f t="shared" si="38"/>
        <v>10558.917473025595</v>
      </c>
      <c r="F85" s="25">
        <f t="shared" si="38"/>
        <v>10770.095822486106</v>
      </c>
      <c r="G85" s="25">
        <f t="shared" si="38"/>
        <v>10985.497738935828</v>
      </c>
      <c r="H85" s="25">
        <f t="shared" si="38"/>
        <v>11205.207693714547</v>
      </c>
      <c r="I85" s="25">
        <f t="shared" si="38"/>
        <v>11429.311847588835</v>
      </c>
      <c r="J85" s="25">
        <f t="shared" si="38"/>
        <v>11657.898084540615</v>
      </c>
      <c r="K85" s="26">
        <f t="shared" si="38"/>
        <v>11891.056046231426</v>
      </c>
    </row>
    <row r="86" spans="1:11" ht="13.2" customHeight="1">
      <c r="A86" s="24" t="s">
        <v>3644</v>
      </c>
      <c r="B86" s="25">
        <f t="shared" ref="B86:K86" si="39">-(B84+B85)*$B$8</f>
        <v>-35521.156435591685</v>
      </c>
      <c r="C86" s="25">
        <f t="shared" si="39"/>
        <v>-36231.579564303524</v>
      </c>
      <c r="D86" s="25">
        <f t="shared" si="39"/>
        <v>-36956.21115558959</v>
      </c>
      <c r="E86" s="25">
        <f t="shared" si="39"/>
        <v>-37695.335378701377</v>
      </c>
      <c r="F86" s="25">
        <f t="shared" si="39"/>
        <v>-38449.242086275401</v>
      </c>
      <c r="G86" s="25">
        <f t="shared" si="39"/>
        <v>-39218.226928000913</v>
      </c>
      <c r="H86" s="25">
        <f t="shared" si="39"/>
        <v>-40002.591466560931</v>
      </c>
      <c r="I86" s="25">
        <f t="shared" si="39"/>
        <v>-40802.64329589215</v>
      </c>
      <c r="J86" s="25">
        <f t="shared" si="39"/>
        <v>-41618.696161809996</v>
      </c>
      <c r="K86" s="26">
        <f t="shared" si="39"/>
        <v>-42451.070085046194</v>
      </c>
    </row>
    <row r="87" spans="1:11" ht="13.2"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948</v>
      </c>
      <c r="B89" s="25">
        <f t="shared" ref="B89:K89" si="40">$B$19*(1+$B$6)^(B83-1)</f>
        <v>-378974.51425944833</v>
      </c>
      <c r="C89" s="25">
        <f t="shared" si="40"/>
        <v>-390343.74968723173</v>
      </c>
      <c r="D89" s="25">
        <f t="shared" si="40"/>
        <v>-402054.06217784871</v>
      </c>
      <c r="E89" s="25">
        <f t="shared" si="40"/>
        <v>-414115.68404318421</v>
      </c>
      <c r="F89" s="25">
        <f t="shared" si="40"/>
        <v>-426539.15456447966</v>
      </c>
      <c r="G89" s="25">
        <f t="shared" si="40"/>
        <v>-439335.32920141402</v>
      </c>
      <c r="H89" s="25">
        <f t="shared" si="40"/>
        <v>-452515.38907745649</v>
      </c>
      <c r="I89" s="25">
        <f t="shared" si="40"/>
        <v>-466090.85074978013</v>
      </c>
      <c r="J89" s="25">
        <f t="shared" si="40"/>
        <v>-480073.57627227355</v>
      </c>
      <c r="K89" s="26">
        <f t="shared" si="40"/>
        <v>-494475.78356044175</v>
      </c>
    </row>
    <row r="90" spans="1:11" ht="13.2" customHeight="1">
      <c r="A90" s="24" t="s">
        <v>1746</v>
      </c>
      <c r="B90" s="25">
        <f>IF(AND('Part VII-Pro Forma'!$G$8="Yes",'Part VII-Pro Forma'!$G$9="Yes"),"Choose One!",IF('Part VII-Pro Forma'!$G$8="Yes",ROUND((-$K$8*(1+'Part VII-Pro Forma'!$B$6)^('Part VII-Pro Forma'!B83-1)),),IF('Part VII-Pro Forma'!$G$9="Yes",ROUND((-(SUM(B84:B87)*'Part VII-Pro Forma'!$K$9)),),"Choose mgt fee")))</f>
        <v>-44833</v>
      </c>
      <c r="C90" s="25">
        <f>IF(AND('Part VII-Pro Forma'!$G$8="Yes",'Part VII-Pro Forma'!$G$9="Yes"),"Choose One!",IF('Part VII-Pro Forma'!$G$8="Yes",ROUND((-$K$8*(1+'Part VII-Pro Forma'!$B$6)^('Part VII-Pro Forma'!C83-1)),),IF('Part VII-Pro Forma'!$G$9="Yes",ROUND((-(SUM(C84:C87)*'Part VII-Pro Forma'!$K$9)),),"Choose mgt fee")))</f>
        <v>-45729</v>
      </c>
      <c r="D90" s="25">
        <f>IF(AND('Part VII-Pro Forma'!$G$8="Yes",'Part VII-Pro Forma'!$G$9="Yes"),"Choose One!",IF('Part VII-Pro Forma'!$G$8="Yes",ROUND((-$K$8*(1+'Part VII-Pro Forma'!$B$6)^('Part VII-Pro Forma'!D83-1)),),IF('Part VII-Pro Forma'!$G$9="Yes",ROUND((-(SUM(D84:D87)*'Part VII-Pro Forma'!$K$9)),),"Choose mgt fee")))</f>
        <v>-46644</v>
      </c>
      <c r="E90" s="25">
        <f>IF(AND('Part VII-Pro Forma'!$G$8="Yes",'Part VII-Pro Forma'!$G$9="Yes"),"Choose One!",IF('Part VII-Pro Forma'!$G$8="Yes",ROUND((-$K$8*(1+'Part VII-Pro Forma'!$B$6)^('Part VII-Pro Forma'!E83-1)),),IF('Part VII-Pro Forma'!$G$9="Yes",ROUND((-(SUM(E84:E87)*'Part VII-Pro Forma'!$K$9)),),"Choose mgt fee")))</f>
        <v>-47577</v>
      </c>
      <c r="F90" s="25">
        <f>IF(AND('Part VII-Pro Forma'!$G$8="Yes",'Part VII-Pro Forma'!$G$9="Yes"),"Choose One!",IF('Part VII-Pro Forma'!$G$8="Yes",ROUND((-$K$8*(1+'Part VII-Pro Forma'!$B$6)^('Part VII-Pro Forma'!F83-1)),),IF('Part VII-Pro Forma'!$G$9="Yes",ROUND((-(SUM(F84:F87)*'Part VII-Pro Forma'!$K$9)),),"Choose mgt fee")))</f>
        <v>-48528</v>
      </c>
      <c r="G90" s="25">
        <f>IF(AND('Part VII-Pro Forma'!$G$8="Yes",'Part VII-Pro Forma'!$G$9="Yes"),"Choose One!",IF('Part VII-Pro Forma'!$G$8="Yes",ROUND((-$K$8*(1+'Part VII-Pro Forma'!$B$6)^('Part VII-Pro Forma'!G83-1)),),IF('Part VII-Pro Forma'!$G$9="Yes",ROUND((-(SUM(G84:G87)*'Part VII-Pro Forma'!$K$9)),),"Choose mgt fee")))</f>
        <v>-49499</v>
      </c>
      <c r="H90" s="25">
        <f>IF(AND('Part VII-Pro Forma'!$G$8="Yes",'Part VII-Pro Forma'!$G$9="Yes"),"Choose One!",IF('Part VII-Pro Forma'!$G$8="Yes",ROUND((-$K$8*(1+'Part VII-Pro Forma'!$B$6)^('Part VII-Pro Forma'!H83-1)),),IF('Part VII-Pro Forma'!$G$9="Yes",ROUND((-(SUM(H84:H87)*'Part VII-Pro Forma'!$K$9)),),"Choose mgt fee")))</f>
        <v>-50489</v>
      </c>
      <c r="I90" s="25">
        <f>IF(AND('Part VII-Pro Forma'!$G$8="Yes",'Part VII-Pro Forma'!$G$9="Yes"),"Choose One!",IF('Part VII-Pro Forma'!$G$8="Yes",ROUND((-$K$8*(1+'Part VII-Pro Forma'!$B$6)^('Part VII-Pro Forma'!I83-1)),),IF('Part VII-Pro Forma'!$G$9="Yes",ROUND((-(SUM(I84:I87)*'Part VII-Pro Forma'!$K$9)),),"Choose mgt fee")))</f>
        <v>-51499</v>
      </c>
      <c r="J90" s="25">
        <f>IF(AND('Part VII-Pro Forma'!$G$8="Yes",'Part VII-Pro Forma'!$G$9="Yes"),"Choose One!",IF('Part VII-Pro Forma'!$G$8="Yes",ROUND((-$K$8*(1+'Part VII-Pro Forma'!$B$6)^('Part VII-Pro Forma'!J83-1)),),IF('Part VII-Pro Forma'!$G$9="Yes",ROUND((-(SUM(J84:J87)*'Part VII-Pro Forma'!$K$9)),),"Choose mgt fee")))</f>
        <v>-52529</v>
      </c>
      <c r="K90" s="25">
        <f>IF(AND('Part VII-Pro Forma'!$G$8="Yes",'Part VII-Pro Forma'!$G$9="Yes"),"Choose One!",IF('Part VII-Pro Forma'!$G$8="Yes",ROUND((-$K$8*(1+'Part VII-Pro Forma'!$B$6)^('Part VII-Pro Forma'!K83-1)),),IF('Part VII-Pro Forma'!$G$9="Yes",ROUND((-(SUM(K84:K87)*'Part VII-Pro Forma'!$K$9)),),"Choose mgt fee")))</f>
        <v>-53579</v>
      </c>
    </row>
    <row r="91" spans="1:11" ht="13.2" customHeight="1">
      <c r="A91" s="24" t="s">
        <v>1862</v>
      </c>
      <c r="B91" s="25">
        <f t="shared" ref="B91:K91" si="41">$B$21*(1+$B$7)^(B83-1)</f>
        <v>-27091.668520041199</v>
      </c>
      <c r="C91" s="25">
        <f t="shared" si="41"/>
        <v>-27904.41857564243</v>
      </c>
      <c r="D91" s="25">
        <f t="shared" si="41"/>
        <v>-28741.551132911707</v>
      </c>
      <c r="E91" s="25">
        <f t="shared" si="41"/>
        <v>-29603.79766689906</v>
      </c>
      <c r="F91" s="25">
        <f t="shared" si="41"/>
        <v>-30491.911596906026</v>
      </c>
      <c r="G91" s="25">
        <f t="shared" si="41"/>
        <v>-31406.668944813209</v>
      </c>
      <c r="H91" s="25">
        <f t="shared" si="41"/>
        <v>-32348.869013157608</v>
      </c>
      <c r="I91" s="25">
        <f t="shared" si="41"/>
        <v>-33319.335083552331</v>
      </c>
      <c r="J91" s="25">
        <f t="shared" si="41"/>
        <v>-34318.915136058902</v>
      </c>
      <c r="K91" s="26">
        <f t="shared" si="41"/>
        <v>-35348.482590140666</v>
      </c>
    </row>
    <row r="92" spans="1:11" ht="13.2" customHeight="1">
      <c r="A92" s="24" t="s">
        <v>1863</v>
      </c>
      <c r="B92" s="25">
        <f t="shared" ref="B92:K92" si="42">SUM(B84:B91)</f>
        <v>21024.752721942805</v>
      </c>
      <c r="C92" s="25">
        <f t="shared" si="42"/>
        <v>17385.245948586871</v>
      </c>
      <c r="D92" s="25">
        <f t="shared" si="42"/>
        <v>13550.049184929805</v>
      </c>
      <c r="E92" s="25">
        <f t="shared" si="42"/>
        <v>9512.9740355206741</v>
      </c>
      <c r="F92" s="25">
        <f t="shared" si="42"/>
        <v>5266.5786991303285</v>
      </c>
      <c r="G92" s="25">
        <f t="shared" si="42"/>
        <v>801.15961149915529</v>
      </c>
      <c r="H92" s="25">
        <f t="shared" si="42"/>
        <v>-3890.2571777332269</v>
      </c>
      <c r="I92" s="25">
        <f t="shared" si="42"/>
        <v>-8816.9249021939322</v>
      </c>
      <c r="J92" s="25">
        <f t="shared" si="42"/>
        <v>-13987.385258571099</v>
      </c>
      <c r="K92" s="26">
        <f t="shared" si="42"/>
        <v>-19410.477877825913</v>
      </c>
    </row>
    <row r="93" spans="1:11" ht="13.2"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3"/>
        <v>D/S Mortgage A</v>
      </c>
      <c r="B95" s="822">
        <f>IF('Part III A-Sources of Funds'!$M$33="", 0,-'Part III A-Sources of Funds'!$M$33)</f>
        <v>0</v>
      </c>
      <c r="C95" s="822">
        <f>IF('Part III A-Sources of Funds'!$M$33="", 0,-'Part III A-Sources of Funds'!$M$33)</f>
        <v>0</v>
      </c>
      <c r="D95" s="822">
        <f>IF('Part III A-Sources of Funds'!$M$33="", 0,-'Part III A-Sources of Funds'!$M$33)</f>
        <v>0</v>
      </c>
      <c r="E95" s="822">
        <f>IF('Part III A-Sources of Funds'!$M$33="", 0,-'Part III A-Sources of Funds'!$M$33)</f>
        <v>0</v>
      </c>
      <c r="F95" s="822">
        <f>IF('Part III A-Sources of Funds'!$M$33="", 0,-'Part III A-Sources of Funds'!$M$33)</f>
        <v>0</v>
      </c>
      <c r="G95" s="822">
        <f>IF('Part III A-Sources of Funds'!$M$33="", 0,-'Part III A-Sources of Funds'!$M$33)</f>
        <v>0</v>
      </c>
      <c r="H95" s="822">
        <f>IF('Part III A-Sources of Funds'!$M$33="", 0,-'Part III A-Sources of Funds'!$M$33)</f>
        <v>0</v>
      </c>
      <c r="I95" s="822">
        <f>IF('Part III A-Sources of Funds'!$M$33="", 0,-'Part III A-Sources of Funds'!$M$33)</f>
        <v>0</v>
      </c>
      <c r="J95" s="822">
        <f>IF('Part III A-Sources of Funds'!$M$33="", 0,-'Part III A-Sources of Funds'!$M$33)</f>
        <v>0</v>
      </c>
      <c r="K95" s="822">
        <f>IF('Part III A-Sources of Funds'!$M$33="", 0,-'Part III A-Sources of Funds'!$M$33)</f>
        <v>0</v>
      </c>
    </row>
    <row r="96" spans="1:11" ht="13.2" customHeight="1">
      <c r="A96" s="24" t="str">
        <f t="shared" si="43"/>
        <v>D/S Mortgage B</v>
      </c>
      <c r="B96" s="822">
        <f>IF('Part III A-Sources of Funds'!$M$34="", 0,-'Part III A-Sources of Funds'!$M$34)</f>
        <v>0</v>
      </c>
      <c r="C96" s="822">
        <f>IF('Part III A-Sources of Funds'!$M$34="", 0,-'Part III A-Sources of Funds'!$M$34)</f>
        <v>0</v>
      </c>
      <c r="D96" s="822">
        <f>IF('Part III A-Sources of Funds'!$M$34="", 0,-'Part III A-Sources of Funds'!$M$34)</f>
        <v>0</v>
      </c>
      <c r="E96" s="822">
        <f>IF('Part III A-Sources of Funds'!$M$34="", 0,-'Part III A-Sources of Funds'!$M$34)</f>
        <v>0</v>
      </c>
      <c r="F96" s="822">
        <f>IF('Part III A-Sources of Funds'!$M$34="", 0,-'Part III A-Sources of Funds'!$M$34)</f>
        <v>0</v>
      </c>
      <c r="G96" s="822">
        <f>IF('Part III A-Sources of Funds'!$M$34="", 0,-'Part III A-Sources of Funds'!$M$34)</f>
        <v>0</v>
      </c>
      <c r="H96" s="822">
        <f>IF('Part III A-Sources of Funds'!$M$34="", 0,-'Part III A-Sources of Funds'!$M$34)</f>
        <v>0</v>
      </c>
      <c r="I96" s="822">
        <f>IF('Part III A-Sources of Funds'!$M$34="", 0,-'Part III A-Sources of Funds'!$M$34)</f>
        <v>0</v>
      </c>
      <c r="J96" s="822">
        <f>IF('Part III A-Sources of Funds'!$M$34="", 0,-'Part III A-Sources of Funds'!$M$34)</f>
        <v>0</v>
      </c>
      <c r="K96" s="822">
        <f>IF('Part III A-Sources of Funds'!$M$34="", 0,-'Part III A-Sources of Funds'!$M$34)</f>
        <v>0</v>
      </c>
    </row>
    <row r="97" spans="1:11" ht="13.2" customHeight="1">
      <c r="A97" s="24" t="str">
        <f t="shared" si="43"/>
        <v>D/S Other Source</v>
      </c>
      <c r="B97" s="822">
        <f>IF('Part III A-Sources of Funds'!$M$35="", 0,-'Part III A-Sources of Funds'!$M$35)</f>
        <v>0</v>
      </c>
      <c r="C97" s="822">
        <f>IF('Part III A-Sources of Funds'!$M$35="", 0,-'Part III A-Sources of Funds'!$M$35)</f>
        <v>0</v>
      </c>
      <c r="D97" s="822">
        <f>IF('Part III A-Sources of Funds'!$M$35="", 0,-'Part III A-Sources of Funds'!$M$35)</f>
        <v>0</v>
      </c>
      <c r="E97" s="822">
        <f>IF('Part III A-Sources of Funds'!$M$35="", 0,-'Part III A-Sources of Funds'!$M$35)</f>
        <v>0</v>
      </c>
      <c r="F97" s="822">
        <f>IF('Part III A-Sources of Funds'!$M$35="", 0,-'Part III A-Sources of Funds'!$M$35)</f>
        <v>0</v>
      </c>
      <c r="G97" s="822">
        <f>IF('Part III A-Sources of Funds'!$M$35="", 0,-'Part III A-Sources of Funds'!$M$35)</f>
        <v>0</v>
      </c>
      <c r="H97" s="822">
        <f>IF('Part III A-Sources of Funds'!$M$35="", 0,-'Part III A-Sources of Funds'!$M$35)</f>
        <v>0</v>
      </c>
      <c r="I97" s="822">
        <f>IF('Part III A-Sources of Funds'!$M$35="", 0,-'Part III A-Sources of Funds'!$M$35)</f>
        <v>0</v>
      </c>
      <c r="J97" s="822">
        <f>IF('Part III A-Sources of Funds'!$M$35="", 0,-'Part III A-Sources of Funds'!$M$35)</f>
        <v>0</v>
      </c>
      <c r="K97" s="822">
        <f>IF('Part III A-Sources of Funds'!$M$35="", 0,-'Part III A-Sources of Funds'!$M$35)</f>
        <v>0</v>
      </c>
    </row>
    <row r="98" spans="1:11" ht="13.2" customHeight="1">
      <c r="A98" s="24" t="str">
        <f t="shared" si="43"/>
        <v>D/S Grant from fdn / charity</v>
      </c>
      <c r="B98" s="822">
        <f>IF('Part III A-Sources of Funds'!$M$36="", 0,-'Part III A-Sources of Funds'!$M$36)</f>
        <v>0</v>
      </c>
      <c r="C98" s="822">
        <f>IF('Part III A-Sources of Funds'!$M$36="", 0,-'Part III A-Sources of Funds'!$M$36)</f>
        <v>0</v>
      </c>
      <c r="D98" s="822">
        <f>IF('Part III A-Sources of Funds'!$M$36="", 0,-'Part III A-Sources of Funds'!$M$36)</f>
        <v>0</v>
      </c>
      <c r="E98" s="822">
        <f>IF('Part III A-Sources of Funds'!$M$36="", 0,-'Part III A-Sources of Funds'!$M$36)</f>
        <v>0</v>
      </c>
      <c r="F98" s="822">
        <f>IF('Part III A-Sources of Funds'!$M$36="", 0,-'Part III A-Sources of Funds'!$M$36)</f>
        <v>0</v>
      </c>
      <c r="G98" s="822">
        <f>IF('Part III A-Sources of Funds'!$M$36="", 0,-'Part III A-Sources of Funds'!$M$36)</f>
        <v>0</v>
      </c>
      <c r="H98" s="822">
        <f>IF('Part III A-Sources of Funds'!$M$36="", 0,-'Part III A-Sources of Funds'!$M$36)</f>
        <v>0</v>
      </c>
      <c r="I98" s="822">
        <f>IF('Part III A-Sources of Funds'!$M$36="", 0,-'Part III A-Sources of Funds'!$M$36)</f>
        <v>0</v>
      </c>
      <c r="J98" s="822">
        <f>IF('Part III A-Sources of Funds'!$M$36="", 0,-'Part III A-Sources of Funds'!$M$36)</f>
        <v>0</v>
      </c>
      <c r="K98" s="822">
        <f>IF('Part III A-Sources of Funds'!$M$36="", 0,-'Part III A-Sources of Funds'!$M$36)</f>
        <v>0</v>
      </c>
    </row>
    <row r="99" spans="1:11" ht="13.2" customHeight="1">
      <c r="A99" s="24" t="s">
        <v>1336</v>
      </c>
      <c r="B99" s="823"/>
      <c r="C99" s="823"/>
      <c r="D99" s="823"/>
      <c r="E99" s="823"/>
      <c r="F99" s="823"/>
      <c r="G99" s="823"/>
      <c r="H99" s="823"/>
      <c r="I99" s="823"/>
      <c r="J99" s="823"/>
      <c r="K99" s="823"/>
    </row>
    <row r="100" spans="1:11" ht="13.2" customHeight="1">
      <c r="A100" s="24" t="s">
        <v>1807</v>
      </c>
      <c r="B100" s="822">
        <f>+K65</f>
        <v>-5000</v>
      </c>
      <c r="C100" s="822">
        <f t="shared" ref="C100:K100" si="44">+B100</f>
        <v>-5000</v>
      </c>
      <c r="D100" s="822">
        <f t="shared" si="44"/>
        <v>-5000</v>
      </c>
      <c r="E100" s="822">
        <f t="shared" si="44"/>
        <v>-5000</v>
      </c>
      <c r="F100" s="822">
        <f t="shared" si="44"/>
        <v>-5000</v>
      </c>
      <c r="G100" s="822">
        <f t="shared" si="44"/>
        <v>-5000</v>
      </c>
      <c r="H100" s="822">
        <f t="shared" si="44"/>
        <v>-5000</v>
      </c>
      <c r="I100" s="822">
        <f t="shared" si="44"/>
        <v>-5000</v>
      </c>
      <c r="J100" s="822">
        <f t="shared" si="44"/>
        <v>-5000</v>
      </c>
      <c r="K100" s="822">
        <f t="shared" si="44"/>
        <v>-5000</v>
      </c>
    </row>
    <row r="101" spans="1:11" ht="13.2" customHeight="1">
      <c r="A101" s="24" t="s">
        <v>1864</v>
      </c>
      <c r="B101" s="822">
        <f>IF('Part III A-Sources of Funds'!$M$37="", 0,-'Part III A-Sources of Funds'!$M$37)</f>
        <v>0</v>
      </c>
      <c r="C101" s="822">
        <f>IF('Part III A-Sources of Funds'!$M$37="", 0,-'Part III A-Sources of Funds'!$M$37)</f>
        <v>0</v>
      </c>
      <c r="D101" s="822">
        <f>IF('Part III A-Sources of Funds'!$M$37="", 0,-'Part III A-Sources of Funds'!$M$37)</f>
        <v>0</v>
      </c>
      <c r="E101" s="822">
        <f>IF('Part III A-Sources of Funds'!$M$37="", 0,-'Part III A-Sources of Funds'!$M$37)</f>
        <v>0</v>
      </c>
      <c r="F101" s="822">
        <f>IF('Part III A-Sources of Funds'!$M$37="", 0,-'Part III A-Sources of Funds'!$M$37)</f>
        <v>0</v>
      </c>
      <c r="G101" s="822">
        <f>IF('Part III A-Sources of Funds'!$M$37="", 0,-'Part III A-Sources of Funds'!$M$37)</f>
        <v>0</v>
      </c>
      <c r="H101" s="822">
        <f>IF('Part III A-Sources of Funds'!$M$37="", 0,-'Part III A-Sources of Funds'!$M$37)</f>
        <v>0</v>
      </c>
      <c r="I101" s="822">
        <f>IF('Part III A-Sources of Funds'!$M$37="", 0,-'Part III A-Sources of Funds'!$M$37)</f>
        <v>0</v>
      </c>
      <c r="J101" s="822">
        <f>IF('Part III A-Sources of Funds'!$M$37="", 0,-'Part III A-Sources of Funds'!$M$37)</f>
        <v>0</v>
      </c>
      <c r="K101" s="822">
        <f>IF('Part III A-Sources of Funds'!$M$37="", 0,-'Part III A-Sources of Funds'!$M$37)</f>
        <v>0</v>
      </c>
    </row>
    <row r="102" spans="1:11" ht="13.2" customHeight="1">
      <c r="A102" s="24" t="s">
        <v>1808</v>
      </c>
      <c r="B102" s="824">
        <f>+K67</f>
        <v>0</v>
      </c>
      <c r="C102" s="824">
        <f t="shared" ref="C102:K102" si="45">+B102</f>
        <v>0</v>
      </c>
      <c r="D102" s="824">
        <f t="shared" si="45"/>
        <v>0</v>
      </c>
      <c r="E102" s="824">
        <f t="shared" si="45"/>
        <v>0</v>
      </c>
      <c r="F102" s="824">
        <f t="shared" si="45"/>
        <v>0</v>
      </c>
      <c r="G102" s="824">
        <f t="shared" si="45"/>
        <v>0</v>
      </c>
      <c r="H102" s="824">
        <f t="shared" si="45"/>
        <v>0</v>
      </c>
      <c r="I102" s="824">
        <f t="shared" si="45"/>
        <v>0</v>
      </c>
      <c r="J102" s="824">
        <f t="shared" si="45"/>
        <v>0</v>
      </c>
      <c r="K102" s="824">
        <f t="shared" si="45"/>
        <v>0</v>
      </c>
    </row>
    <row r="103" spans="1:11" ht="13.2" customHeight="1">
      <c r="A103" s="24" t="s">
        <v>1809</v>
      </c>
      <c r="B103" s="25">
        <f t="shared" ref="B103:K103" si="46">SUM(B92:B102)</f>
        <v>16024.752721942805</v>
      </c>
      <c r="C103" s="25">
        <f t="shared" si="46"/>
        <v>12385.245948586871</v>
      </c>
      <c r="D103" s="25">
        <f t="shared" si="46"/>
        <v>8550.0491849298051</v>
      </c>
      <c r="E103" s="25">
        <f t="shared" si="46"/>
        <v>4512.9740355206741</v>
      </c>
      <c r="F103" s="25">
        <f t="shared" si="46"/>
        <v>266.57869913032846</v>
      </c>
      <c r="G103" s="25">
        <f t="shared" si="46"/>
        <v>-4198.8403885008447</v>
      </c>
      <c r="H103" s="25">
        <f t="shared" si="46"/>
        <v>-8890.2571777332269</v>
      </c>
      <c r="I103" s="25">
        <f t="shared" si="46"/>
        <v>-13816.924902193932</v>
      </c>
      <c r="J103" s="25">
        <f t="shared" si="46"/>
        <v>-18987.385258571099</v>
      </c>
      <c r="K103" s="23">
        <f t="shared" si="46"/>
        <v>-24410.477877825913</v>
      </c>
    </row>
    <row r="104" spans="1:11" ht="13.2"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2"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2"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2"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2"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2"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2" customHeight="1">
      <c r="A110" s="24" t="s">
        <v>1345</v>
      </c>
      <c r="B110" s="379">
        <f>IF(OR(B90="Choose mgt fee",B90="Choose One!"),"",(B84+B85+B86+B87+B88) / -(B89+B90+B91))</f>
        <v>1.0466285003941223</v>
      </c>
      <c r="C110" s="379">
        <f t="shared" ref="C110:K110" si="54">IF(OR(C90="Choose mgt fee",C90="Choose One!"),"",(C84+C85+C86+C87+C88) / -(C89+C90+C91))</f>
        <v>1.0374700462388635</v>
      </c>
      <c r="D110" s="379">
        <f t="shared" si="54"/>
        <v>1.0283806554947719</v>
      </c>
      <c r="E110" s="379">
        <f t="shared" si="54"/>
        <v>1.0193630005295546</v>
      </c>
      <c r="F110" s="379">
        <f t="shared" si="54"/>
        <v>1.0104173360773023</v>
      </c>
      <c r="G110" s="379">
        <f t="shared" si="54"/>
        <v>1.0015399778455638</v>
      </c>
      <c r="H110" s="379">
        <f t="shared" si="54"/>
        <v>0.99273328943283512</v>
      </c>
      <c r="I110" s="379">
        <f t="shared" si="54"/>
        <v>0.98399568362822443</v>
      </c>
      <c r="J110" s="379">
        <f t="shared" si="54"/>
        <v>0.97532747396147568</v>
      </c>
      <c r="K110" s="380">
        <f t="shared" si="54"/>
        <v>0.96672888376868304</v>
      </c>
    </row>
    <row r="111" spans="1:11" ht="13.2" customHeight="1">
      <c r="A111" s="24" t="str">
        <f>IF('Part III A-Sources of Funds'!$E$32 = "Neither", "", "First Mortgage Balance")</f>
        <v/>
      </c>
      <c r="B111" s="825">
        <f>IF('Part III A-Sources of Funds'!$H$32="","",-FV('Part III A-Sources of Funds'!$J$32/12,12,B93/12,K76))</f>
        <v>0</v>
      </c>
      <c r="C111" s="825">
        <f>IF('Part III A-Sources of Funds'!$H$32="","",-FV('Part III A-Sources of Funds'!$J$32/12,12,C93/12,B111))</f>
        <v>0</v>
      </c>
      <c r="D111" s="825">
        <f>IF('Part III A-Sources of Funds'!$H$32="","",-FV('Part III A-Sources of Funds'!$J$32/12,12,D93/12,C111))</f>
        <v>0</v>
      </c>
      <c r="E111" s="825">
        <f>IF('Part III A-Sources of Funds'!$H$32="","",-FV('Part III A-Sources of Funds'!$J$32/12,12,E93/12,D111))</f>
        <v>0</v>
      </c>
      <c r="F111" s="825">
        <f>IF('Part III A-Sources of Funds'!$H$32="","",-FV('Part III A-Sources of Funds'!$J$32/12,12,F93/12,E111))</f>
        <v>0</v>
      </c>
      <c r="G111" s="825">
        <f>IF('Part III A-Sources of Funds'!$H$32="","",-FV('Part III A-Sources of Funds'!$J$32/12,12,G93/12,F111))</f>
        <v>0</v>
      </c>
      <c r="H111" s="825">
        <f>IF('Part III A-Sources of Funds'!$H$32="","",-FV('Part III A-Sources of Funds'!$J$32/12,12,H93/12,G111))</f>
        <v>0</v>
      </c>
      <c r="I111" s="825">
        <f>IF('Part III A-Sources of Funds'!$H$32="","",-FV('Part III A-Sources of Funds'!$J$32/12,12,I93/12,H111))</f>
        <v>0</v>
      </c>
      <c r="J111" s="825">
        <f>IF('Part III A-Sources of Funds'!$H$32="","",-FV('Part III A-Sources of Funds'!$J$32/12,12,J93/12,I111))</f>
        <v>0</v>
      </c>
      <c r="K111" s="825">
        <f>IF('Part III A-Sources of Funds'!$H$32="","",-FV('Part III A-Sources of Funds'!$J$32/12,12,K93/12,J111))</f>
        <v>0</v>
      </c>
    </row>
    <row r="112" spans="1:11" ht="13.2" customHeight="1">
      <c r="A112" s="24" t="str">
        <f>IF('Part III A-Sources of Funds'!$E$32 = "Neither", "First Mortgage Balance", "Second Mortgage Balance")</f>
        <v>First Mortgage Balance</v>
      </c>
      <c r="B112" s="822" t="str">
        <f>IF('Part III A-Sources of Funds'!$H$33="","",-FV('Part III A-Sources of Funds'!$J$33/12,12,B95/12,K77))</f>
        <v/>
      </c>
      <c r="C112" s="822" t="str">
        <f>IF('Part III A-Sources of Funds'!$H$33="","",-FV('Part III A-Sources of Funds'!$J$33/12,12,C95/12,B112))</f>
        <v/>
      </c>
      <c r="D112" s="822" t="str">
        <f>IF('Part III A-Sources of Funds'!$H$33="","",-FV('Part III A-Sources of Funds'!$J$33/12,12,D95/12,C112))</f>
        <v/>
      </c>
      <c r="E112" s="822" t="str">
        <f>IF('Part III A-Sources of Funds'!$H$33="","",-FV('Part III A-Sources of Funds'!$J$33/12,12,E95/12,D112))</f>
        <v/>
      </c>
      <c r="F112" s="822" t="str">
        <f>IF('Part III A-Sources of Funds'!$H$33="","",-FV('Part III A-Sources of Funds'!$J$33/12,12,F95/12,E112))</f>
        <v/>
      </c>
      <c r="G112" s="822" t="str">
        <f>IF('Part III A-Sources of Funds'!$H$33="","",-FV('Part III A-Sources of Funds'!$J$33/12,12,G95/12,F112))</f>
        <v/>
      </c>
      <c r="H112" s="822" t="str">
        <f>IF('Part III A-Sources of Funds'!$H$33="","",-FV('Part III A-Sources of Funds'!$J$33/12,12,H95/12,G112))</f>
        <v/>
      </c>
      <c r="I112" s="822" t="str">
        <f>IF('Part III A-Sources of Funds'!$H$33="","",-FV('Part III A-Sources of Funds'!$J$33/12,12,I95/12,H112))</f>
        <v/>
      </c>
      <c r="J112" s="822" t="str">
        <f>IF('Part III A-Sources of Funds'!$H$33="","",-FV('Part III A-Sources of Funds'!$J$33/12,12,J95/12,I112))</f>
        <v/>
      </c>
      <c r="K112" s="822" t="str">
        <f>IF('Part III A-Sources of Funds'!$H$33="","",-FV('Part III A-Sources of Funds'!$J$33/12,12,K95/12,J112))</f>
        <v/>
      </c>
    </row>
    <row r="113" spans="1:11" ht="13.2" customHeight="1">
      <c r="A113" s="24" t="str">
        <f>IF('Part III A-Sources of Funds'!$E$32 = "Neither", "Second Mortgage Balance", "Third Mortgage Balance")</f>
        <v>Second Mortgage Balance</v>
      </c>
      <c r="B113" s="822" t="str">
        <f>IF('Part III A-Sources of Funds'!$H$34="","",-FV('Part III A-Sources of Funds'!$J$34/12,12,B96/12,K78))</f>
        <v/>
      </c>
      <c r="C113" s="822" t="str">
        <f>IF('Part III A-Sources of Funds'!$H$34="","",-FV('Part III A-Sources of Funds'!$J$34/12,12,C96/12,B113))</f>
        <v/>
      </c>
      <c r="D113" s="822" t="str">
        <f>IF('Part III A-Sources of Funds'!$H$34="","",-FV('Part III A-Sources of Funds'!$J$34/12,12,D96/12,C113))</f>
        <v/>
      </c>
      <c r="E113" s="822" t="str">
        <f>IF('Part III A-Sources of Funds'!$H$34="","",-FV('Part III A-Sources of Funds'!$J$34/12,12,E96/12,D113))</f>
        <v/>
      </c>
      <c r="F113" s="822" t="str">
        <f>IF('Part III A-Sources of Funds'!$H$34="","",-FV('Part III A-Sources of Funds'!$J$34/12,12,F96/12,E113))</f>
        <v/>
      </c>
      <c r="G113" s="822" t="str">
        <f>IF('Part III A-Sources of Funds'!$H$34="","",-FV('Part III A-Sources of Funds'!$J$34/12,12,G96/12,F113))</f>
        <v/>
      </c>
      <c r="H113" s="822" t="str">
        <f>IF('Part III A-Sources of Funds'!$H$34="","",-FV('Part III A-Sources of Funds'!$J$34/12,12,H96/12,G113))</f>
        <v/>
      </c>
      <c r="I113" s="822" t="str">
        <f>IF('Part III A-Sources of Funds'!$H$34="","",-FV('Part III A-Sources of Funds'!$J$34/12,12,I96/12,H113))</f>
        <v/>
      </c>
      <c r="J113" s="822" t="str">
        <f>IF('Part III A-Sources of Funds'!$H$34="","",-FV('Part III A-Sources of Funds'!$J$34/12,12,J96/12,I113))</f>
        <v/>
      </c>
      <c r="K113" s="822" t="str">
        <f>IF('Part III A-Sources of Funds'!$H$34="","",-FV('Part III A-Sources of Funds'!$J$34/12,12,K96/12,J113))</f>
        <v/>
      </c>
    </row>
    <row r="114" spans="1:11" ht="13.2" customHeight="1">
      <c r="A114" s="24" t="s">
        <v>1364</v>
      </c>
      <c r="B114" s="822" t="str">
        <f>IF('Part III A-Sources of Funds'!$H$35="","",-FV('Part III A-Sources of Funds'!$J$35/12,12,B97/12,K79))</f>
        <v/>
      </c>
      <c r="C114" s="822" t="str">
        <f>IF('Part III A-Sources of Funds'!$H$35="","",-FV('Part III A-Sources of Funds'!$J$35/12,12,C97/12,B114))</f>
        <v/>
      </c>
      <c r="D114" s="822" t="str">
        <f>IF('Part III A-Sources of Funds'!$H$35="","",-FV('Part III A-Sources of Funds'!$J$35/12,12,D97/12,C114))</f>
        <v/>
      </c>
      <c r="E114" s="822" t="str">
        <f>IF('Part III A-Sources of Funds'!$H$35="","",-FV('Part III A-Sources of Funds'!$J$35/12,12,E97/12,D114))</f>
        <v/>
      </c>
      <c r="F114" s="822" t="str">
        <f>IF('Part III A-Sources of Funds'!$H$35="","",-FV('Part III A-Sources of Funds'!$J$35/12,12,F97/12,E114))</f>
        <v/>
      </c>
      <c r="G114" s="822" t="str">
        <f>IF('Part III A-Sources of Funds'!$H$35="","",-FV('Part III A-Sources of Funds'!$J$35/12,12,G97/12,F114))</f>
        <v/>
      </c>
      <c r="H114" s="822" t="str">
        <f>IF('Part III A-Sources of Funds'!$H$35="","",-FV('Part III A-Sources of Funds'!$J$35/12,12,H97/12,G114))</f>
        <v/>
      </c>
      <c r="I114" s="822" t="str">
        <f>IF('Part III A-Sources of Funds'!$H$35="","",-FV('Part III A-Sources of Funds'!$J$35/12,12,I97/12,H114))</f>
        <v/>
      </c>
      <c r="J114" s="822" t="str">
        <f>IF('Part III A-Sources of Funds'!$H$35="","",-FV('Part III A-Sources of Funds'!$J$35/12,12,J97/12,I114))</f>
        <v/>
      </c>
      <c r="K114" s="822" t="str">
        <f>IF('Part III A-Sources of Funds'!$H$35="","",-FV('Part III A-Sources of Funds'!$J$35/12,12,K97/12,J114))</f>
        <v/>
      </c>
    </row>
    <row r="115" spans="1:11" ht="13.2" customHeight="1">
      <c r="A115" s="24" t="s">
        <v>1364</v>
      </c>
      <c r="B115" s="822" t="str">
        <f>IF('Part III A-Sources of Funds'!$H$36="","",-FV('Part III A-Sources of Funds'!$J$36/12,12,B98/12,K80))</f>
        <v/>
      </c>
      <c r="C115" s="822" t="str">
        <f>IF('Part III A-Sources of Funds'!$H$36="","",-FV('Part III A-Sources of Funds'!$J$36/12,12,C98/12,B115))</f>
        <v/>
      </c>
      <c r="D115" s="822" t="str">
        <f>IF('Part III A-Sources of Funds'!$H$36="","",-FV('Part III A-Sources of Funds'!$J$36/12,12,D98/12,C115))</f>
        <v/>
      </c>
      <c r="E115" s="822" t="str">
        <f>IF('Part III A-Sources of Funds'!$H$36="","",-FV('Part III A-Sources of Funds'!$J$36/12,12,E98/12,D115))</f>
        <v/>
      </c>
      <c r="F115" s="822" t="str">
        <f>IF('Part III A-Sources of Funds'!$H$36="","",-FV('Part III A-Sources of Funds'!$J$36/12,12,F98/12,E115))</f>
        <v/>
      </c>
      <c r="G115" s="822" t="str">
        <f>IF('Part III A-Sources of Funds'!$H$36="","",-FV('Part III A-Sources of Funds'!$J$36/12,12,G98/12,F115))</f>
        <v/>
      </c>
      <c r="H115" s="822" t="str">
        <f>IF('Part III A-Sources of Funds'!$H$36="","",-FV('Part III A-Sources of Funds'!$J$36/12,12,H98/12,G115))</f>
        <v/>
      </c>
      <c r="I115" s="822" t="str">
        <f>IF('Part III A-Sources of Funds'!$H$36="","",-FV('Part III A-Sources of Funds'!$J$36/12,12,I98/12,H115))</f>
        <v/>
      </c>
      <c r="J115" s="822" t="str">
        <f>IF('Part III A-Sources of Funds'!$H$36="","",-FV('Part III A-Sources of Funds'!$J$36/12,12,J98/12,I115))</f>
        <v/>
      </c>
      <c r="K115" s="822" t="str">
        <f>IF('Part III A-Sources of Funds'!$H$36="","",-FV('Part III A-Sources of Funds'!$J$36/12,12,K98/12,J115))</f>
        <v/>
      </c>
    </row>
    <row r="116" spans="1:11" ht="13.2" customHeight="1">
      <c r="A116" s="29" t="s">
        <v>1899</v>
      </c>
      <c r="B116" s="824">
        <f>IF('Part III A-Sources of Funds'!$H$37="","",-FV('Part III A-Sources of Funds'!$J$37/12,12,B101/12,K81))</f>
        <v>2.9103830456733704E-11</v>
      </c>
      <c r="C116" s="824">
        <f>IF('Part III A-Sources of Funds'!$H$37="","",-FV('Part III A-Sources of Funds'!$J$37/12,12,C101/12,B116))</f>
        <v>2.9103830456733704E-11</v>
      </c>
      <c r="D116" s="824">
        <f>IF('Part III A-Sources of Funds'!$H$37="","",-FV('Part III A-Sources of Funds'!$J$37/12,12,D101/12,C116))</f>
        <v>2.9103830456733704E-11</v>
      </c>
      <c r="E116" s="824">
        <f>IF('Part III A-Sources of Funds'!$H$37="","",-FV('Part III A-Sources of Funds'!$J$37/12,12,E101/12,D116))</f>
        <v>2.9103830456733704E-11</v>
      </c>
      <c r="F116" s="824">
        <f>IF('Part III A-Sources of Funds'!$H$37="","",-FV('Part III A-Sources of Funds'!$J$37/12,12,F101/12,E116))</f>
        <v>2.9103830456733704E-11</v>
      </c>
      <c r="G116" s="824">
        <f>IF('Part III A-Sources of Funds'!$H$37="","",-FV('Part III A-Sources of Funds'!$J$37/12,12,G101/12,F116))</f>
        <v>2.9103830456733704E-11</v>
      </c>
      <c r="H116" s="824">
        <f>IF('Part III A-Sources of Funds'!$H$37="","",-FV('Part III A-Sources of Funds'!$J$37/12,12,H101/12,G116))</f>
        <v>2.9103830456733704E-11</v>
      </c>
      <c r="I116" s="824">
        <f>IF('Part III A-Sources of Funds'!$H$37="","",-FV('Part III A-Sources of Funds'!$J$37/12,12,I101/12,H116))</f>
        <v>2.9103830456733704E-11</v>
      </c>
      <c r="J116" s="824">
        <f>IF('Part III A-Sources of Funds'!$H$37="","",-FV('Part III A-Sources of Funds'!$J$37/12,12,J101/12,I116))</f>
        <v>2.9103830456733704E-11</v>
      </c>
      <c r="K116" s="824">
        <f>IF('Part III A-Sources of Funds'!$H$37="","",-FV('Part III A-Sources of Funds'!$J$37/12,12,K101/12,J116))</f>
        <v>2.9103830456733704E-11</v>
      </c>
    </row>
    <row r="117" spans="1:11" ht="4.2" customHeight="1">
      <c r="B117" s="20"/>
      <c r="C117" s="20"/>
      <c r="D117" s="20"/>
      <c r="E117" s="20"/>
      <c r="F117" s="20"/>
      <c r="G117" s="20"/>
      <c r="H117" s="20"/>
      <c r="I117" s="20"/>
      <c r="J117" s="20"/>
      <c r="K117" s="20"/>
    </row>
    <row r="118" spans="1:11" ht="14.4" customHeight="1">
      <c r="A118" s="16" t="s">
        <v>3754</v>
      </c>
      <c r="B118" s="18">
        <f>K83+1</f>
        <v>31</v>
      </c>
      <c r="C118" s="18">
        <f>B118+1</f>
        <v>32</v>
      </c>
      <c r="D118" s="18">
        <f>C118+1</f>
        <v>33</v>
      </c>
      <c r="E118" s="18">
        <f>D118+1</f>
        <v>34</v>
      </c>
      <c r="F118" s="18">
        <f>E118+1</f>
        <v>35</v>
      </c>
      <c r="G118" s="31"/>
      <c r="H118" s="31"/>
      <c r="I118" s="31"/>
      <c r="J118" s="31"/>
      <c r="K118" s="31"/>
    </row>
    <row r="119" spans="1:11" ht="13.2" customHeight="1">
      <c r="A119" s="21" t="s">
        <v>3643</v>
      </c>
      <c r="B119" s="22">
        <f>$B$14*(1+$B$5)^(B118-1)</f>
        <v>606443.85835780273</v>
      </c>
      <c r="C119" s="22">
        <f>$B$14*(1+$B$5)^(C118-1)</f>
        <v>618572.7355249587</v>
      </c>
      <c r="D119" s="22">
        <f>$B$14*(1+$B$5)^(D118-1)</f>
        <v>630944.19023545797</v>
      </c>
      <c r="E119" s="22">
        <f>$B$14*(1+$B$5)^(E118-1)</f>
        <v>643563.07404016715</v>
      </c>
      <c r="F119" s="23">
        <f>$B$14*(1+$B$5)^(F118-1)</f>
        <v>656434.3355209704</v>
      </c>
      <c r="G119" s="31"/>
      <c r="H119" s="31"/>
      <c r="I119" s="31"/>
      <c r="J119" s="31"/>
      <c r="K119" s="31"/>
    </row>
    <row r="120" spans="1:11" ht="13.2" customHeight="1">
      <c r="A120" s="24" t="s">
        <v>1632</v>
      </c>
      <c r="B120" s="25">
        <f>$B$15*(1+$B$5)^(B118-1)</f>
        <v>12128.877167156055</v>
      </c>
      <c r="C120" s="25">
        <f>$B$15*(1+$B$5)^(C118-1)</f>
        <v>12371.454710499173</v>
      </c>
      <c r="D120" s="25">
        <f>$B$15*(1+$B$5)^(D118-1)</f>
        <v>12618.883804709159</v>
      </c>
      <c r="E120" s="25">
        <f>$B$15*(1+$B$5)^(E118-1)</f>
        <v>12871.261480803343</v>
      </c>
      <c r="F120" s="26">
        <f>$B$15*(1+$B$5)^(F118-1)</f>
        <v>13128.686710419408</v>
      </c>
      <c r="G120" s="31"/>
      <c r="H120" s="31"/>
      <c r="I120" s="31"/>
      <c r="J120" s="31"/>
      <c r="K120" s="31"/>
    </row>
    <row r="121" spans="1:11" ht="13.2" customHeight="1">
      <c r="A121" s="24" t="s">
        <v>3644</v>
      </c>
      <c r="B121" s="25">
        <f>-(B119+B120)*$B$8</f>
        <v>-43300.091486747122</v>
      </c>
      <c r="C121" s="25">
        <f>-(C119+C120)*$B$8</f>
        <v>-44166.093316482053</v>
      </c>
      <c r="D121" s="25">
        <f>-(D119+D120)*$B$8</f>
        <v>-45049.415182811703</v>
      </c>
      <c r="E121" s="25">
        <f>-(E119+E120)*$B$8</f>
        <v>-45950.403486467942</v>
      </c>
      <c r="F121" s="26">
        <f>-(F119+F120)*$B$8</f>
        <v>-46869.411556197287</v>
      </c>
      <c r="G121" s="31"/>
      <c r="H121" s="31"/>
      <c r="I121" s="31"/>
      <c r="J121" s="31"/>
      <c r="K121" s="31"/>
    </row>
    <row r="122" spans="1:11" ht="13.2" customHeight="1">
      <c r="A122" s="24" t="s">
        <v>61</v>
      </c>
      <c r="B122" s="826"/>
      <c r="C122" s="826"/>
      <c r="D122" s="826"/>
      <c r="E122" s="826"/>
      <c r="F122" s="826"/>
      <c r="G122" s="31"/>
      <c r="H122" s="31"/>
      <c r="I122" s="31"/>
      <c r="J122" s="31"/>
      <c r="K122" s="31"/>
    </row>
    <row r="123" spans="1:11" ht="13.2" customHeight="1">
      <c r="A123" s="24" t="s">
        <v>62</v>
      </c>
      <c r="B123" s="826"/>
      <c r="C123" s="826"/>
      <c r="D123" s="826"/>
      <c r="E123" s="826"/>
      <c r="F123" s="826"/>
      <c r="G123" s="31"/>
      <c r="H123" s="31"/>
      <c r="I123" s="31"/>
      <c r="J123" s="31"/>
      <c r="K123" s="31"/>
    </row>
    <row r="124" spans="1:11" ht="13.2" customHeight="1">
      <c r="A124" s="24" t="s">
        <v>948</v>
      </c>
      <c r="B124" s="25">
        <f>$B$19*(1+$B$6)^(B118-1)</f>
        <v>-509310.05706725497</v>
      </c>
      <c r="C124" s="25">
        <f>$B$19*(1+$B$6)^(C118-1)</f>
        <v>-524589.35877927276</v>
      </c>
      <c r="D124" s="25">
        <f>$B$19*(1+$B$6)^(D118-1)</f>
        <v>-540327.0395426508</v>
      </c>
      <c r="E124" s="25">
        <f>$B$19*(1+$B$6)^(E118-1)</f>
        <v>-556536.85072893032</v>
      </c>
      <c r="F124" s="26">
        <f>$B$19*(1+$B$6)^(F118-1)</f>
        <v>-573232.95625079819</v>
      </c>
      <c r="G124" s="31"/>
      <c r="H124" s="31"/>
      <c r="I124" s="31"/>
      <c r="J124" s="31"/>
      <c r="K124" s="31"/>
    </row>
    <row r="125" spans="1:11" ht="13.2" customHeight="1">
      <c r="A125" s="24" t="s">
        <v>1746</v>
      </c>
      <c r="B125" s="25">
        <f>IF(AND('Part VII-Pro Forma'!$G$8="Yes",'Part VII-Pro Forma'!$G$9="Yes"),"Choose One!",IF('Part VII-Pro Forma'!$G$8="Yes",ROUND((-$K$8*(1+'Part VII-Pro Forma'!$B$6)^('Part VII-Pro Forma'!B118-1)),),IF('Part VII-Pro Forma'!$G$9="Yes",ROUND((-(SUM(B119:B122)*'Part VII-Pro Forma'!$K$9)),),"Choose mgt fee")))</f>
        <v>-54651</v>
      </c>
      <c r="C125" s="25">
        <f>IF(AND('Part VII-Pro Forma'!$G$8="Yes",'Part VII-Pro Forma'!$G$9="Yes"),"Choose One!",IF('Part VII-Pro Forma'!$G$8="Yes",ROUND((-$K$8*(1+'Part VII-Pro Forma'!$B$6)^('Part VII-Pro Forma'!C118-1)),),IF('Part VII-Pro Forma'!$G$9="Yes",ROUND((-(SUM(C119:C122)*'Part VII-Pro Forma'!$K$9)),),"Choose mgt fee")))</f>
        <v>-55744</v>
      </c>
      <c r="D125" s="25">
        <f>IF(AND('Part VII-Pro Forma'!$G$8="Yes",'Part VII-Pro Forma'!$G$9="Yes"),"Choose One!",IF('Part VII-Pro Forma'!$G$8="Yes",ROUND((-$K$8*(1+'Part VII-Pro Forma'!$B$6)^('Part VII-Pro Forma'!D118-1)),),IF('Part VII-Pro Forma'!$G$9="Yes",ROUND((-(SUM(D119:D122)*'Part VII-Pro Forma'!$K$9)),),"Choose mgt fee")))</f>
        <v>-56859</v>
      </c>
      <c r="E125" s="25">
        <f>IF(AND('Part VII-Pro Forma'!$G$8="Yes",'Part VII-Pro Forma'!$G$9="Yes"),"Choose One!",IF('Part VII-Pro Forma'!$G$8="Yes",ROUND((-$K$8*(1+'Part VII-Pro Forma'!$B$6)^('Part VII-Pro Forma'!E118-1)),),IF('Part VII-Pro Forma'!$G$9="Yes",ROUND((-(SUM(E119:E122)*'Part VII-Pro Forma'!$K$9)),),"Choose mgt fee")))</f>
        <v>-57996</v>
      </c>
      <c r="F125" s="25">
        <f>IF(AND('Part VII-Pro Forma'!$G$8="Yes",'Part VII-Pro Forma'!$G$9="Yes"),"Choose One!",IF('Part VII-Pro Forma'!$G$8="Yes",ROUND((-$K$8*(1+'Part VII-Pro Forma'!$B$6)^('Part VII-Pro Forma'!F118-1)),),IF('Part VII-Pro Forma'!$G$9="Yes",ROUND((-(SUM(F119:F122)*'Part VII-Pro Forma'!$K$9)),),"Choose mgt fee")))</f>
        <v>-59156</v>
      </c>
      <c r="G125" s="31"/>
      <c r="H125" s="31"/>
      <c r="I125" s="31"/>
      <c r="J125" s="31"/>
      <c r="K125" s="31"/>
    </row>
    <row r="126" spans="1:11" ht="13.2" customHeight="1">
      <c r="A126" s="24" t="s">
        <v>1862</v>
      </c>
      <c r="B126" s="25">
        <f>$B$21*(1+$B$7)^(B118-1)</f>
        <v>-36408.937067844883</v>
      </c>
      <c r="C126" s="25">
        <f>$B$21*(1+$B$7)^(C118-1)</f>
        <v>-37501.205179880242</v>
      </c>
      <c r="D126" s="25">
        <f>$B$21*(1+$B$7)^(D118-1)</f>
        <v>-38626.241335276638</v>
      </c>
      <c r="E126" s="25">
        <f>$B$21*(1+$B$7)^(E118-1)</f>
        <v>-39785.028575334938</v>
      </c>
      <c r="F126" s="26">
        <f>$B$21*(1+$B$7)^(F118-1)</f>
        <v>-40978.579432594983</v>
      </c>
      <c r="G126" s="31"/>
      <c r="H126" s="31"/>
      <c r="I126" s="31"/>
      <c r="J126" s="31"/>
      <c r="K126" s="31"/>
    </row>
    <row r="127" spans="1:11" ht="13.2" customHeight="1">
      <c r="A127" s="24" t="s">
        <v>1863</v>
      </c>
      <c r="B127" s="25">
        <f>SUM(B119:B126)</f>
        <v>-25097.350096888178</v>
      </c>
      <c r="C127" s="25">
        <f>SUM(C119:C126)</f>
        <v>-31056.467040177187</v>
      </c>
      <c r="D127" s="25">
        <f>SUM(D119:D126)</f>
        <v>-37298.622020571966</v>
      </c>
      <c r="E127" s="25">
        <f>SUM(E119:E126)</f>
        <v>-43833.947269762641</v>
      </c>
      <c r="F127" s="26">
        <f>SUM(F119:F126)</f>
        <v>-50673.925008200735</v>
      </c>
      <c r="G127" s="31"/>
      <c r="H127" s="31"/>
      <c r="I127" s="31"/>
      <c r="J127" s="31"/>
      <c r="K127" s="31"/>
    </row>
    <row r="128" spans="1:11" ht="13.2"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5"/>
        <v>D/S Mortgage A</v>
      </c>
      <c r="B130" s="822">
        <f>IF('Part III A-Sources of Funds'!$M$33="", 0,-'Part III A-Sources of Funds'!$M$33)</f>
        <v>0</v>
      </c>
      <c r="C130" s="822">
        <f>IF('Part III A-Sources of Funds'!$M$33="", 0,-'Part III A-Sources of Funds'!$M$33)</f>
        <v>0</v>
      </c>
      <c r="D130" s="822">
        <f>IF('Part III A-Sources of Funds'!$M$33="", 0,-'Part III A-Sources of Funds'!$M$33)</f>
        <v>0</v>
      </c>
      <c r="E130" s="822">
        <f>IF('Part III A-Sources of Funds'!$M$33="", 0,-'Part III A-Sources of Funds'!$M$33)</f>
        <v>0</v>
      </c>
      <c r="F130" s="822">
        <f>IF('Part III A-Sources of Funds'!$M$33="", 0,-'Part III A-Sources of Funds'!$M$33)</f>
        <v>0</v>
      </c>
      <c r="G130" s="31"/>
      <c r="H130" s="31"/>
      <c r="I130" s="31"/>
      <c r="J130" s="31"/>
      <c r="K130" s="31"/>
    </row>
    <row r="131" spans="1:12" ht="13.2" customHeight="1">
      <c r="A131" s="24" t="str">
        <f t="shared" si="55"/>
        <v>D/S Mortgage B</v>
      </c>
      <c r="B131" s="822">
        <f>IF('Part III A-Sources of Funds'!$M$34="", 0,-'Part III A-Sources of Funds'!$M$34)</f>
        <v>0</v>
      </c>
      <c r="C131" s="822">
        <f>IF('Part III A-Sources of Funds'!$M$34="", 0,-'Part III A-Sources of Funds'!$M$34)</f>
        <v>0</v>
      </c>
      <c r="D131" s="822">
        <f>IF('Part III A-Sources of Funds'!$M$34="", 0,-'Part III A-Sources of Funds'!$M$34)</f>
        <v>0</v>
      </c>
      <c r="E131" s="822">
        <f>IF('Part III A-Sources of Funds'!$M$34="", 0,-'Part III A-Sources of Funds'!$M$34)</f>
        <v>0</v>
      </c>
      <c r="F131" s="822">
        <f>IF('Part III A-Sources of Funds'!$M$34="", 0,-'Part III A-Sources of Funds'!$M$34)</f>
        <v>0</v>
      </c>
      <c r="G131" s="31"/>
      <c r="H131" s="31"/>
      <c r="I131" s="31"/>
      <c r="J131" s="31"/>
      <c r="K131" s="31"/>
    </row>
    <row r="132" spans="1:12" ht="13.2" customHeight="1">
      <c r="A132" s="24" t="str">
        <f t="shared" si="55"/>
        <v>D/S Other Source</v>
      </c>
      <c r="B132" s="822">
        <f>IF('Part III A-Sources of Funds'!$M$35="", 0,-'Part III A-Sources of Funds'!$M$35)</f>
        <v>0</v>
      </c>
      <c r="C132" s="822">
        <f>IF('Part III A-Sources of Funds'!$M$35="", 0,-'Part III A-Sources of Funds'!$M$35)</f>
        <v>0</v>
      </c>
      <c r="D132" s="822">
        <f>IF('Part III A-Sources of Funds'!$M$35="", 0,-'Part III A-Sources of Funds'!$M$35)</f>
        <v>0</v>
      </c>
      <c r="E132" s="822">
        <f>IF('Part III A-Sources of Funds'!$M$35="", 0,-'Part III A-Sources of Funds'!$M$35)</f>
        <v>0</v>
      </c>
      <c r="F132" s="822">
        <f>IF('Part III A-Sources of Funds'!$M$35="", 0,-'Part III A-Sources of Funds'!$M$35)</f>
        <v>0</v>
      </c>
      <c r="G132" s="31"/>
      <c r="H132" s="31"/>
      <c r="I132" s="31"/>
      <c r="J132" s="31"/>
      <c r="K132" s="31"/>
    </row>
    <row r="133" spans="1:12" ht="13.2" customHeight="1">
      <c r="A133" s="24" t="str">
        <f t="shared" si="55"/>
        <v>D/S Grant from fdn / charity</v>
      </c>
      <c r="B133" s="822">
        <f>IF('Part III A-Sources of Funds'!$M$36="", 0,-'Part III A-Sources of Funds'!$M$36)</f>
        <v>0</v>
      </c>
      <c r="C133" s="822">
        <f>IF('Part III A-Sources of Funds'!$M$36="", 0,-'Part III A-Sources of Funds'!$M$36)</f>
        <v>0</v>
      </c>
      <c r="D133" s="822">
        <f>IF('Part III A-Sources of Funds'!$M$36="", 0,-'Part III A-Sources of Funds'!$M$36)</f>
        <v>0</v>
      </c>
      <c r="E133" s="822">
        <f>IF('Part III A-Sources of Funds'!$M$36="", 0,-'Part III A-Sources of Funds'!$M$36)</f>
        <v>0</v>
      </c>
      <c r="F133" s="822">
        <f>IF('Part III A-Sources of Funds'!$M$36="", 0,-'Part III A-Sources of Funds'!$M$36)</f>
        <v>0</v>
      </c>
      <c r="G133" s="31"/>
      <c r="H133" s="31"/>
      <c r="I133" s="31"/>
      <c r="J133" s="31"/>
      <c r="K133" s="31"/>
    </row>
    <row r="134" spans="1:12" ht="13.2" customHeight="1">
      <c r="A134" s="24" t="s">
        <v>1336</v>
      </c>
      <c r="B134" s="823"/>
      <c r="C134" s="823"/>
      <c r="D134" s="823"/>
      <c r="E134" s="823"/>
      <c r="F134" s="823"/>
      <c r="G134" s="31"/>
      <c r="H134" s="31"/>
      <c r="I134" s="31"/>
      <c r="J134" s="31"/>
      <c r="K134" s="31"/>
    </row>
    <row r="135" spans="1:12" ht="13.2" customHeight="1">
      <c r="A135" s="24" t="s">
        <v>1807</v>
      </c>
      <c r="B135" s="822">
        <f>+K100</f>
        <v>-5000</v>
      </c>
      <c r="C135" s="822">
        <f>+B135</f>
        <v>-5000</v>
      </c>
      <c r="D135" s="822">
        <f>+C135</f>
        <v>-5000</v>
      </c>
      <c r="E135" s="822">
        <f>+D135</f>
        <v>-5000</v>
      </c>
      <c r="F135" s="822">
        <f>+E135</f>
        <v>-5000</v>
      </c>
      <c r="G135" s="31"/>
      <c r="H135" s="31"/>
      <c r="I135" s="31"/>
      <c r="J135" s="31"/>
      <c r="K135" s="31"/>
    </row>
    <row r="136" spans="1:12" ht="13.2" customHeight="1">
      <c r="A136" s="24" t="s">
        <v>1864</v>
      </c>
      <c r="B136" s="822">
        <f>IF('Part III A-Sources of Funds'!$M$37="", 0,-'Part III A-Sources of Funds'!$M$37)</f>
        <v>0</v>
      </c>
      <c r="C136" s="822">
        <f>IF('Part III A-Sources of Funds'!$M$37="", 0,-'Part III A-Sources of Funds'!$M$37)</f>
        <v>0</v>
      </c>
      <c r="D136" s="822">
        <f>IF('Part III A-Sources of Funds'!$M$37="", 0,-'Part III A-Sources of Funds'!$M$37)</f>
        <v>0</v>
      </c>
      <c r="E136" s="822">
        <f>IF('Part III A-Sources of Funds'!$M$37="", 0,-'Part III A-Sources of Funds'!$M$37)</f>
        <v>0</v>
      </c>
      <c r="F136" s="822">
        <f>IF('Part III A-Sources of Funds'!$M$37="", 0,-'Part III A-Sources of Funds'!$M$37)</f>
        <v>0</v>
      </c>
      <c r="G136" s="31"/>
      <c r="H136" s="31"/>
      <c r="I136" s="31"/>
      <c r="J136" s="31"/>
      <c r="K136" s="31"/>
    </row>
    <row r="137" spans="1:12" ht="13.2" customHeight="1">
      <c r="A137" s="24" t="s">
        <v>1808</v>
      </c>
      <c r="B137" s="824">
        <f>+K102</f>
        <v>0</v>
      </c>
      <c r="C137" s="824">
        <f>+B137</f>
        <v>0</v>
      </c>
      <c r="D137" s="824">
        <f>+C137</f>
        <v>0</v>
      </c>
      <c r="E137" s="824">
        <f>+D137</f>
        <v>0</v>
      </c>
      <c r="F137" s="824">
        <f>+E137</f>
        <v>0</v>
      </c>
      <c r="G137" s="31"/>
      <c r="H137" s="31"/>
      <c r="I137" s="31"/>
      <c r="J137" s="31"/>
      <c r="K137" s="31"/>
    </row>
    <row r="138" spans="1:12" ht="13.2" customHeight="1">
      <c r="A138" s="24" t="s">
        <v>1809</v>
      </c>
      <c r="B138" s="25">
        <f>SUM(B127:B137)</f>
        <v>-30097.350096888178</v>
      </c>
      <c r="C138" s="25">
        <f>SUM(C127:C137)</f>
        <v>-36056.467040177187</v>
      </c>
      <c r="D138" s="25">
        <f>SUM(D127:D137)</f>
        <v>-42298.622020571966</v>
      </c>
      <c r="E138" s="25">
        <f>SUM(E127:E137)</f>
        <v>-48833.947269762641</v>
      </c>
      <c r="F138" s="26">
        <f>SUM(F127:F137)</f>
        <v>-55673.925008200735</v>
      </c>
      <c r="G138" s="31"/>
      <c r="H138" s="31"/>
      <c r="I138" s="31"/>
      <c r="J138" s="31"/>
      <c r="K138" s="31"/>
    </row>
    <row r="139" spans="1:12" ht="13.2"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1345</v>
      </c>
      <c r="B145" s="379">
        <f>IF(OR(B125="Choose mgt fee",B125="Choose One!"),"",(B119+B120+B121+B122+B123) / -(B124+B125+B126))</f>
        <v>0.95819686136539217</v>
      </c>
      <c r="C145" s="379">
        <f>IF(OR(C125="Choose mgt fee",C125="Choose One!"),"",(C119+C120+C121+C122+C123) / -(C124+C125+C126))</f>
        <v>0.9497333609159645</v>
      </c>
      <c r="D145" s="379">
        <f>IF(OR(D125="Choose mgt fee",D125="Choose One!"),"",(D119+D120+D121+D122+D123) / -(D124+D125+D126))</f>
        <v>0.94133705318011451</v>
      </c>
      <c r="E145" s="379">
        <f>IF(OR(E125="Choose mgt fee",E125="Choose One!"),"",(E119+E120+E121+E122+E123) / -(E124+E125+E126))</f>
        <v>0.93300817743759168</v>
      </c>
      <c r="F145" s="380">
        <f>IF(OR(F125="Choose mgt fee",F125="Choose One!"),"",(F119+F120+F121+F122+F123) / -(F124+F125+F126))</f>
        <v>0.92474551812663153</v>
      </c>
      <c r="G145" s="31"/>
      <c r="H145" s="31"/>
      <c r="I145" s="31"/>
      <c r="J145" s="31"/>
      <c r="K145" s="31"/>
    </row>
    <row r="146" spans="1:14" ht="13.2" customHeight="1">
      <c r="A146" s="24" t="str">
        <f>IF('Part III A-Sources of Funds'!$E$32 = "Neither", "", "First Mortgage Balance")</f>
        <v/>
      </c>
      <c r="B146" s="825">
        <f>IF('Part III A-Sources of Funds'!$H$32="","",-FV('Part III A-Sources of Funds'!$J$32/12,12,B128/12,K111))</f>
        <v>0</v>
      </c>
      <c r="C146" s="825">
        <f>IF('Part III A-Sources of Funds'!$H$32="","",-FV('Part III A-Sources of Funds'!$J$32/12,12,C128/12,B146))</f>
        <v>0</v>
      </c>
      <c r="D146" s="825">
        <f>IF('Part III A-Sources of Funds'!$H$32="","",-FV('Part III A-Sources of Funds'!$J$32/12,12,D128/12,C146))</f>
        <v>0</v>
      </c>
      <c r="E146" s="825">
        <f>IF('Part III A-Sources of Funds'!$H$32="","",-FV('Part III A-Sources of Funds'!$J$32/12,12,E128/12,D146))</f>
        <v>0</v>
      </c>
      <c r="F146" s="825">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22" t="str">
        <f>IF('Part III A-Sources of Funds'!$H$33="","",-FV('Part III A-Sources of Funds'!$J$33/12,12,B130/12,K112))</f>
        <v/>
      </c>
      <c r="C147" s="822" t="str">
        <f>IF('Part III A-Sources of Funds'!$H$33="","",-FV('Part III A-Sources of Funds'!$J$33/12,12,C130/12,B147))</f>
        <v/>
      </c>
      <c r="D147" s="822" t="str">
        <f>IF('Part III A-Sources of Funds'!$H$33="","",-FV('Part III A-Sources of Funds'!$J$33/12,12,D130/12,C147))</f>
        <v/>
      </c>
      <c r="E147" s="822" t="str">
        <f>IF('Part III A-Sources of Funds'!$H$33="","",-FV('Part III A-Sources of Funds'!$J$33/12,12,E130/12,D147))</f>
        <v/>
      </c>
      <c r="F147" s="822" t="str">
        <f>IF('Part III A-Sources of Funds'!$H$33="","",-FV('Part III A-Sources of Funds'!$J$33/12,12,F130/12,E147))</f>
        <v/>
      </c>
      <c r="G147" s="31"/>
      <c r="H147" s="31"/>
      <c r="I147" s="31"/>
      <c r="J147" s="31"/>
      <c r="K147" s="31"/>
    </row>
    <row r="148" spans="1:14" ht="13.2" customHeight="1">
      <c r="A148" s="24" t="str">
        <f>IF('Part III A-Sources of Funds'!$E$32 = "Neither", "Second Mortgage Balance", "Third Mortgage Balance")</f>
        <v>Second Mortgage Balance</v>
      </c>
      <c r="B148" s="822" t="str">
        <f>IF('Part III A-Sources of Funds'!$H$34="","",-FV('Part III A-Sources of Funds'!$J$34/12,12,B131/12,K113))</f>
        <v/>
      </c>
      <c r="C148" s="822" t="str">
        <f>IF('Part III A-Sources of Funds'!$H$34="","",-FV('Part III A-Sources of Funds'!$J$34/12,12,C131/12,B148))</f>
        <v/>
      </c>
      <c r="D148" s="822" t="str">
        <f>IF('Part III A-Sources of Funds'!$H$34="","",-FV('Part III A-Sources of Funds'!$J$34/12,12,D131/12,C148))</f>
        <v/>
      </c>
      <c r="E148" s="822" t="str">
        <f>IF('Part III A-Sources of Funds'!$H$34="","",-FV('Part III A-Sources of Funds'!$J$34/12,12,E131/12,D148))</f>
        <v/>
      </c>
      <c r="F148" s="822" t="str">
        <f>IF('Part III A-Sources of Funds'!$H$34="","",-FV('Part III A-Sources of Funds'!$J$34/12,12,F131/12,E148))</f>
        <v/>
      </c>
      <c r="G148" s="31"/>
      <c r="H148" s="31"/>
      <c r="I148" s="31"/>
      <c r="J148" s="31"/>
      <c r="K148" s="31"/>
    </row>
    <row r="149" spans="1:14" ht="13.2" customHeight="1">
      <c r="A149" s="24" t="s">
        <v>1364</v>
      </c>
      <c r="B149" s="822" t="str">
        <f>IF('Part III A-Sources of Funds'!$H$35="","",-FV('Part III A-Sources of Funds'!$J$35/12,12,B132/12,K114))</f>
        <v/>
      </c>
      <c r="C149" s="822" t="str">
        <f>IF('Part III A-Sources of Funds'!$H$35="","",-FV('Part III A-Sources of Funds'!$J$35/12,12,C132/12,B149))</f>
        <v/>
      </c>
      <c r="D149" s="822" t="str">
        <f>IF('Part III A-Sources of Funds'!$H$35="","",-FV('Part III A-Sources of Funds'!$J$35/12,12,D132/12,C149))</f>
        <v/>
      </c>
      <c r="E149" s="822" t="str">
        <f>IF('Part III A-Sources of Funds'!$H$35="","",-FV('Part III A-Sources of Funds'!$J$35/12,12,E132/12,D149))</f>
        <v/>
      </c>
      <c r="F149" s="822" t="str">
        <f>IF('Part III A-Sources of Funds'!$H$35="","",-FV('Part III A-Sources of Funds'!$J$35/12,12,F132/12,E149))</f>
        <v/>
      </c>
      <c r="G149" s="31"/>
      <c r="H149" s="31"/>
      <c r="I149" s="31"/>
      <c r="J149" s="31"/>
      <c r="K149" s="31"/>
    </row>
    <row r="150" spans="1:14" ht="13.2" customHeight="1">
      <c r="A150" s="24" t="s">
        <v>1364</v>
      </c>
      <c r="B150" s="822" t="str">
        <f>IF('Part III A-Sources of Funds'!$H$36="","",-FV('Part III A-Sources of Funds'!$J$36/12,12,B133/12,K115))</f>
        <v/>
      </c>
      <c r="C150" s="822" t="str">
        <f>IF('Part III A-Sources of Funds'!$H$36="","",-FV('Part III A-Sources of Funds'!$J$36/12,12,C133/12,B150))</f>
        <v/>
      </c>
      <c r="D150" s="822" t="str">
        <f>IF('Part III A-Sources of Funds'!$H$36="","",-FV('Part III A-Sources of Funds'!$J$36/12,12,D133/12,C150))</f>
        <v/>
      </c>
      <c r="E150" s="822" t="str">
        <f>IF('Part III A-Sources of Funds'!$H$36="","",-FV('Part III A-Sources of Funds'!$J$36/12,12,E133/12,D150))</f>
        <v/>
      </c>
      <c r="F150" s="822" t="str">
        <f>IF('Part III A-Sources of Funds'!$H$36="","",-FV('Part III A-Sources of Funds'!$J$36/12,12,F133/12,E150))</f>
        <v/>
      </c>
      <c r="G150" s="31"/>
      <c r="H150" s="31"/>
      <c r="I150" s="31"/>
      <c r="J150" s="31"/>
      <c r="K150" s="31"/>
    </row>
    <row r="151" spans="1:14" ht="13.2" customHeight="1">
      <c r="A151" s="29" t="s">
        <v>1899</v>
      </c>
      <c r="B151" s="824">
        <f>IF('Part III A-Sources of Funds'!$H$37="","",-FV('Part III A-Sources of Funds'!$J$37/12,12,B136/12,K116))</f>
        <v>2.9103830456733704E-11</v>
      </c>
      <c r="C151" s="824">
        <f>IF('Part III A-Sources of Funds'!$H$37="","",-FV('Part III A-Sources of Funds'!$J$37/12,12,C136/12,B151))</f>
        <v>2.9103830456733704E-11</v>
      </c>
      <c r="D151" s="824">
        <f>IF('Part III A-Sources of Funds'!$H$37="","",-FV('Part III A-Sources of Funds'!$J$37/12,12,D136/12,C151))</f>
        <v>2.9103830456733704E-11</v>
      </c>
      <c r="E151" s="824">
        <f>IF('Part III A-Sources of Funds'!$H$37="","",-FV('Part III A-Sources of Funds'!$J$37/12,12,E136/12,D151))</f>
        <v>2.9103830456733704E-11</v>
      </c>
      <c r="F151" s="824">
        <f>IF('Part III A-Sources of Funds'!$H$37="","",-FV('Part III A-Sources of Funds'!$J$37/12,12,F136/12,E151))</f>
        <v>2.9103830456733704E-11</v>
      </c>
      <c r="G151" s="31"/>
      <c r="H151" s="31"/>
      <c r="I151" s="31"/>
      <c r="J151" s="31"/>
      <c r="K151" s="31"/>
    </row>
    <row r="152" spans="1:14" ht="4.2" customHeight="1"/>
    <row r="153" spans="1:14" ht="12" customHeight="1">
      <c r="A153" s="16" t="s">
        <v>878</v>
      </c>
      <c r="B153" s="16"/>
      <c r="G153" s="16" t="s">
        <v>1654</v>
      </c>
    </row>
    <row r="154" spans="1:14" ht="12" customHeight="1">
      <c r="B154" s="37"/>
    </row>
    <row r="155" spans="1:14" ht="73.95" customHeight="1">
      <c r="A155" s="1009" t="s">
        <v>4019</v>
      </c>
      <c r="B155" s="1378"/>
      <c r="C155" s="1378"/>
      <c r="D155" s="1378"/>
      <c r="E155" s="1378"/>
      <c r="F155" s="1379"/>
      <c r="G155" s="1012"/>
      <c r="H155" s="1378"/>
      <c r="I155" s="1378"/>
      <c r="J155" s="1378"/>
      <c r="K155" s="1379"/>
    </row>
    <row r="156" spans="1:14" s="2" customFormat="1" ht="73.95" customHeight="1">
      <c r="A156" s="1006"/>
      <c r="B156" s="1373"/>
      <c r="C156" s="1373"/>
      <c r="D156" s="1373"/>
      <c r="E156" s="1373"/>
      <c r="F156" s="1374"/>
      <c r="G156" s="1003"/>
      <c r="H156" s="1373"/>
      <c r="I156" s="1373"/>
      <c r="J156" s="1373"/>
      <c r="K156" s="1374"/>
      <c r="L156" s="9"/>
      <c r="M156" s="9"/>
      <c r="N156" s="9"/>
    </row>
    <row r="157" spans="1:14" s="2" customFormat="1" ht="73.95" customHeight="1">
      <c r="A157" s="1006"/>
      <c r="B157" s="1373"/>
      <c r="C157" s="1373"/>
      <c r="D157" s="1373"/>
      <c r="E157" s="1373"/>
      <c r="F157" s="1374"/>
      <c r="G157" s="1003"/>
      <c r="H157" s="1373"/>
      <c r="I157" s="1373"/>
      <c r="J157" s="1373"/>
      <c r="K157" s="1374"/>
      <c r="L157" s="9"/>
      <c r="M157" s="9"/>
      <c r="N157" s="9"/>
    </row>
    <row r="158" spans="1:14" s="2" customFormat="1" ht="73.95" customHeight="1">
      <c r="A158" s="1015"/>
      <c r="B158" s="1371"/>
      <c r="C158" s="1371"/>
      <c r="D158" s="1371"/>
      <c r="E158" s="1371"/>
      <c r="F158" s="1372"/>
      <c r="G158" s="1018"/>
      <c r="H158" s="1371"/>
      <c r="I158" s="1371"/>
      <c r="J158" s="1371"/>
      <c r="K158" s="1372"/>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6" topLeftCell="A205" activePane="bottomLeft"/>
      <selection activeCell="D214" sqref="D214"/>
      <selection pane="bottomLeft" activeCell="A236" sqref="A236:Q236"/>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193" t="str">
        <f>CONCATENATE("PART EIGHT - THRESHOLD CRITERIA","  -  ",'Part I-Project Information'!$O$4," ",'Part I-Project Information'!$F$22,", ",'Part I-Project Information'!F24,", ",'Part I-Project Information'!J25," County")</f>
        <v>PART EIGHT - THRESHOLD CRITERIA  -  2011-053 Hampton Court , Hampton, Henry County</v>
      </c>
      <c r="B1" s="1194"/>
      <c r="C1" s="1194"/>
      <c r="D1" s="1194"/>
      <c r="E1" s="1194"/>
      <c r="F1" s="1194"/>
      <c r="G1" s="1194"/>
      <c r="H1" s="1194"/>
      <c r="I1" s="1194"/>
      <c r="J1" s="1194"/>
      <c r="K1" s="1194"/>
      <c r="L1" s="1194"/>
      <c r="M1" s="1194"/>
      <c r="N1" s="1194"/>
      <c r="O1" s="1194"/>
      <c r="P1" s="1194"/>
      <c r="Q1" s="1194"/>
    </row>
    <row r="2" spans="1:20" s="31" customFormat="1" ht="3" customHeight="1">
      <c r="S2" s="45"/>
      <c r="T2" s="45"/>
    </row>
    <row r="3" spans="1:20" ht="16.5" customHeight="1">
      <c r="A3" s="1466"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66"/>
      <c r="C3" s="1466"/>
      <c r="D3" s="1466"/>
      <c r="E3" s="1466"/>
      <c r="F3" s="1466"/>
      <c r="G3" s="1466"/>
      <c r="H3" s="1466"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66"/>
      <c r="J3" s="1466"/>
      <c r="K3" s="1466"/>
      <c r="L3" s="1466"/>
      <c r="M3" s="1466"/>
      <c r="N3" s="1467"/>
      <c r="O3" s="1468" t="s">
        <v>1530</v>
      </c>
      <c r="P3" s="1469"/>
      <c r="Q3" s="302" t="s">
        <v>2889</v>
      </c>
    </row>
    <row r="4" spans="1:20" ht="3" customHeight="1">
      <c r="A4" s="738"/>
      <c r="B4" s="1460"/>
      <c r="C4" s="1460"/>
      <c r="D4" s="1460"/>
      <c r="E4" s="738"/>
      <c r="F4" s="738"/>
      <c r="G4" s="738"/>
      <c r="H4" s="738"/>
      <c r="I4" s="738"/>
      <c r="J4" s="738"/>
      <c r="K4" s="738"/>
      <c r="L4" s="738"/>
      <c r="M4" s="738"/>
      <c r="N4" s="738"/>
      <c r="P4" s="738"/>
      <c r="Q4" s="738"/>
    </row>
    <row r="5" spans="1:20" ht="10.95" hidden="1" customHeight="1">
      <c r="A5" s="738"/>
      <c r="B5" s="738"/>
      <c r="C5" s="738"/>
      <c r="D5" s="738"/>
      <c r="E5" s="738"/>
      <c r="F5" s="738"/>
      <c r="G5" s="738"/>
      <c r="H5" s="738"/>
      <c r="I5" s="738"/>
      <c r="J5" s="738"/>
      <c r="K5" s="738"/>
      <c r="L5" s="738"/>
      <c r="M5" s="738"/>
      <c r="N5" s="738"/>
      <c r="P5" s="738"/>
      <c r="Q5" s="738"/>
    </row>
    <row r="6" spans="1:20" ht="15" customHeight="1">
      <c r="A6" s="173" t="s">
        <v>864</v>
      </c>
      <c r="P6" s="1461"/>
      <c r="Q6" s="1462"/>
    </row>
    <row r="7" spans="1:20" ht="12.6" customHeight="1">
      <c r="A7" s="174" t="s">
        <v>366</v>
      </c>
      <c r="C7" s="175"/>
      <c r="D7" s="175"/>
    </row>
    <row r="8" spans="1:20" ht="24.6" customHeight="1">
      <c r="A8" s="1463" t="s">
        <v>2118</v>
      </c>
      <c r="B8" s="1464"/>
      <c r="C8" s="1464"/>
      <c r="D8" s="1464"/>
      <c r="E8" s="1464"/>
      <c r="F8" s="1464"/>
      <c r="G8" s="1464"/>
      <c r="H8" s="1464"/>
      <c r="I8" s="1464"/>
      <c r="J8" s="1464"/>
      <c r="K8" s="1464"/>
      <c r="L8" s="1464"/>
      <c r="M8" s="1464"/>
      <c r="N8" s="1464"/>
      <c r="O8" s="1464"/>
      <c r="P8" s="1464"/>
      <c r="Q8" s="1465"/>
      <c r="R8" s="1405" t="s">
        <v>3112</v>
      </c>
      <c r="S8" s="1405"/>
    </row>
    <row r="9" spans="1:20" ht="24.6" customHeight="1">
      <c r="A9" s="1406" t="s">
        <v>289</v>
      </c>
      <c r="B9" s="1407"/>
      <c r="C9" s="1407"/>
      <c r="D9" s="1407"/>
      <c r="E9" s="1407"/>
      <c r="F9" s="1407"/>
      <c r="G9" s="1407"/>
      <c r="H9" s="1407"/>
      <c r="I9" s="1407"/>
      <c r="J9" s="1407"/>
      <c r="K9" s="1407"/>
      <c r="L9" s="1407"/>
      <c r="M9" s="1407"/>
      <c r="N9" s="1407"/>
      <c r="O9" s="1407"/>
      <c r="P9" s="1407"/>
      <c r="Q9" s="1408"/>
      <c r="R9" s="1405"/>
      <c r="S9" s="1405"/>
    </row>
    <row r="10" spans="1:20" ht="24.6" customHeight="1">
      <c r="A10" s="1406" t="s">
        <v>2114</v>
      </c>
      <c r="B10" s="1407"/>
      <c r="C10" s="1407"/>
      <c r="D10" s="1407"/>
      <c r="E10" s="1407"/>
      <c r="F10" s="1407"/>
      <c r="G10" s="1407"/>
      <c r="H10" s="1407"/>
      <c r="I10" s="1407"/>
      <c r="J10" s="1407"/>
      <c r="K10" s="1407"/>
      <c r="L10" s="1407"/>
      <c r="M10" s="1407"/>
      <c r="N10" s="1407"/>
      <c r="O10" s="1407"/>
      <c r="P10" s="1407"/>
      <c r="Q10" s="1408"/>
      <c r="R10" s="1405"/>
      <c r="S10" s="1405"/>
    </row>
    <row r="11" spans="1:20" ht="24.6" customHeight="1">
      <c r="A11" s="1406" t="s">
        <v>2115</v>
      </c>
      <c r="B11" s="1407"/>
      <c r="C11" s="1407"/>
      <c r="D11" s="1407"/>
      <c r="E11" s="1407"/>
      <c r="F11" s="1407"/>
      <c r="G11" s="1407"/>
      <c r="H11" s="1407"/>
      <c r="I11" s="1407"/>
      <c r="J11" s="1407"/>
      <c r="K11" s="1407"/>
      <c r="L11" s="1407"/>
      <c r="M11" s="1407"/>
      <c r="N11" s="1407"/>
      <c r="O11" s="1407"/>
      <c r="P11" s="1407"/>
      <c r="Q11" s="1408"/>
      <c r="R11" s="1405"/>
      <c r="S11" s="1405"/>
    </row>
    <row r="12" spans="1:20" ht="24.6" customHeight="1">
      <c r="A12" s="1406" t="s">
        <v>2116</v>
      </c>
      <c r="B12" s="1407"/>
      <c r="C12" s="1407"/>
      <c r="D12" s="1407"/>
      <c r="E12" s="1407"/>
      <c r="F12" s="1407"/>
      <c r="G12" s="1407"/>
      <c r="H12" s="1407"/>
      <c r="I12" s="1407"/>
      <c r="J12" s="1407"/>
      <c r="K12" s="1407"/>
      <c r="L12" s="1407"/>
      <c r="M12" s="1407"/>
      <c r="N12" s="1407"/>
      <c r="O12" s="1407"/>
      <c r="P12" s="1407"/>
      <c r="Q12" s="1408"/>
      <c r="R12" s="741"/>
      <c r="S12" s="741"/>
    </row>
    <row r="13" spans="1:20" ht="24.6" customHeight="1">
      <c r="A13" s="1406" t="s">
        <v>2117</v>
      </c>
      <c r="B13" s="1407"/>
      <c r="C13" s="1407"/>
      <c r="D13" s="1407"/>
      <c r="E13" s="1407"/>
      <c r="F13" s="1407"/>
      <c r="G13" s="1407"/>
      <c r="H13" s="1407"/>
      <c r="I13" s="1407"/>
      <c r="J13" s="1407"/>
      <c r="K13" s="1407"/>
      <c r="L13" s="1407"/>
      <c r="M13" s="1407"/>
      <c r="N13" s="1407"/>
      <c r="O13" s="1407"/>
      <c r="P13" s="1407"/>
      <c r="Q13" s="1408"/>
      <c r="R13" s="741"/>
      <c r="S13" s="741"/>
    </row>
    <row r="14" spans="1:20" ht="24.6" customHeight="1">
      <c r="A14" s="1406" t="s">
        <v>2119</v>
      </c>
      <c r="B14" s="1407"/>
      <c r="C14" s="1407"/>
      <c r="D14" s="1407"/>
      <c r="E14" s="1407"/>
      <c r="F14" s="1407"/>
      <c r="G14" s="1407"/>
      <c r="H14" s="1407"/>
      <c r="I14" s="1407"/>
      <c r="J14" s="1407"/>
      <c r="K14" s="1407"/>
      <c r="L14" s="1407"/>
      <c r="M14" s="1407"/>
      <c r="N14" s="1407"/>
      <c r="O14" s="1407"/>
      <c r="P14" s="1407"/>
      <c r="Q14" s="1408"/>
    </row>
    <row r="15" spans="1:20" ht="24.6" customHeight="1">
      <c r="A15" s="1406" t="s">
        <v>3099</v>
      </c>
      <c r="B15" s="1407"/>
      <c r="C15" s="1407"/>
      <c r="D15" s="1407"/>
      <c r="E15" s="1407"/>
      <c r="F15" s="1407"/>
      <c r="G15" s="1407"/>
      <c r="H15" s="1407"/>
      <c r="I15" s="1407"/>
      <c r="J15" s="1407"/>
      <c r="K15" s="1407"/>
      <c r="L15" s="1407"/>
      <c r="M15" s="1407"/>
      <c r="N15" s="1407"/>
      <c r="O15" s="1407"/>
      <c r="P15" s="1407"/>
      <c r="Q15" s="1408"/>
      <c r="R15" s="1405" t="s">
        <v>3112</v>
      </c>
      <c r="S15" s="1405"/>
    </row>
    <row r="16" spans="1:20" ht="24.6" customHeight="1">
      <c r="A16" s="1406" t="s">
        <v>3100</v>
      </c>
      <c r="B16" s="1407"/>
      <c r="C16" s="1407"/>
      <c r="D16" s="1407"/>
      <c r="E16" s="1407"/>
      <c r="F16" s="1407"/>
      <c r="G16" s="1407"/>
      <c r="H16" s="1407"/>
      <c r="I16" s="1407"/>
      <c r="J16" s="1407"/>
      <c r="K16" s="1407"/>
      <c r="L16" s="1407"/>
      <c r="M16" s="1407"/>
      <c r="N16" s="1407"/>
      <c r="O16" s="1407"/>
      <c r="P16" s="1407"/>
      <c r="Q16" s="1408"/>
      <c r="R16" s="1405"/>
      <c r="S16" s="1405"/>
    </row>
    <row r="17" spans="1:19" ht="24.6" customHeight="1">
      <c r="A17" s="1406" t="s">
        <v>3101</v>
      </c>
      <c r="B17" s="1407"/>
      <c r="C17" s="1407"/>
      <c r="D17" s="1407"/>
      <c r="E17" s="1407"/>
      <c r="F17" s="1407"/>
      <c r="G17" s="1407"/>
      <c r="H17" s="1407"/>
      <c r="I17" s="1407"/>
      <c r="J17" s="1407"/>
      <c r="K17" s="1407"/>
      <c r="L17" s="1407"/>
      <c r="M17" s="1407"/>
      <c r="N17" s="1407"/>
      <c r="O17" s="1407"/>
      <c r="P17" s="1407"/>
      <c r="Q17" s="1408"/>
      <c r="R17" s="1405"/>
      <c r="S17" s="1405"/>
    </row>
    <row r="18" spans="1:19" ht="24.6" customHeight="1">
      <c r="A18" s="1406" t="s">
        <v>3102</v>
      </c>
      <c r="B18" s="1407"/>
      <c r="C18" s="1407"/>
      <c r="D18" s="1407"/>
      <c r="E18" s="1407"/>
      <c r="F18" s="1407"/>
      <c r="G18" s="1407"/>
      <c r="H18" s="1407"/>
      <c r="I18" s="1407"/>
      <c r="J18" s="1407"/>
      <c r="K18" s="1407"/>
      <c r="L18" s="1407"/>
      <c r="M18" s="1407"/>
      <c r="N18" s="1407"/>
      <c r="O18" s="1407"/>
      <c r="P18" s="1407"/>
      <c r="Q18" s="1408"/>
      <c r="R18" s="1405"/>
      <c r="S18" s="1405"/>
    </row>
    <row r="19" spans="1:19" ht="24.6" customHeight="1">
      <c r="A19" s="1406" t="s">
        <v>3103</v>
      </c>
      <c r="B19" s="1407"/>
      <c r="C19" s="1407"/>
      <c r="D19" s="1407"/>
      <c r="E19" s="1407"/>
      <c r="F19" s="1407"/>
      <c r="G19" s="1407"/>
      <c r="H19" s="1407"/>
      <c r="I19" s="1407"/>
      <c r="J19" s="1407"/>
      <c r="K19" s="1407"/>
      <c r="L19" s="1407"/>
      <c r="M19" s="1407"/>
      <c r="N19" s="1407"/>
      <c r="O19" s="1407"/>
      <c r="P19" s="1407"/>
      <c r="Q19" s="1408"/>
      <c r="R19" s="741"/>
      <c r="S19" s="741"/>
    </row>
    <row r="20" spans="1:19" ht="24.6" customHeight="1">
      <c r="A20" s="1406" t="s">
        <v>3104</v>
      </c>
      <c r="B20" s="1407"/>
      <c r="C20" s="1407"/>
      <c r="D20" s="1407"/>
      <c r="E20" s="1407"/>
      <c r="F20" s="1407"/>
      <c r="G20" s="1407"/>
      <c r="H20" s="1407"/>
      <c r="I20" s="1407"/>
      <c r="J20" s="1407"/>
      <c r="K20" s="1407"/>
      <c r="L20" s="1407"/>
      <c r="M20" s="1407"/>
      <c r="N20" s="1407"/>
      <c r="O20" s="1407"/>
      <c r="P20" s="1407"/>
      <c r="Q20" s="1408"/>
      <c r="R20" s="741"/>
      <c r="S20" s="741"/>
    </row>
    <row r="21" spans="1:19" ht="24.6" customHeight="1">
      <c r="A21" s="1406" t="s">
        <v>3105</v>
      </c>
      <c r="B21" s="1407"/>
      <c r="C21" s="1407"/>
      <c r="D21" s="1407"/>
      <c r="E21" s="1407"/>
      <c r="F21" s="1407"/>
      <c r="G21" s="1407"/>
      <c r="H21" s="1407"/>
      <c r="I21" s="1407"/>
      <c r="J21" s="1407"/>
      <c r="K21" s="1407"/>
      <c r="L21" s="1407"/>
      <c r="M21" s="1407"/>
      <c r="N21" s="1407"/>
      <c r="O21" s="1407"/>
      <c r="P21" s="1407"/>
      <c r="Q21" s="1408"/>
    </row>
    <row r="22" spans="1:19" ht="24.6" customHeight="1">
      <c r="A22" s="1406" t="s">
        <v>3106</v>
      </c>
      <c r="B22" s="1407"/>
      <c r="C22" s="1407"/>
      <c r="D22" s="1407"/>
      <c r="E22" s="1407"/>
      <c r="F22" s="1407"/>
      <c r="G22" s="1407"/>
      <c r="H22" s="1407"/>
      <c r="I22" s="1407"/>
      <c r="J22" s="1407"/>
      <c r="K22" s="1407"/>
      <c r="L22" s="1407"/>
      <c r="M22" s="1407"/>
      <c r="N22" s="1407"/>
      <c r="O22" s="1407"/>
      <c r="P22" s="1407"/>
      <c r="Q22" s="1408"/>
      <c r="R22" s="1405" t="s">
        <v>3112</v>
      </c>
      <c r="S22" s="1405"/>
    </row>
    <row r="23" spans="1:19" ht="24.6" customHeight="1">
      <c r="A23" s="1406" t="s">
        <v>3107</v>
      </c>
      <c r="B23" s="1407"/>
      <c r="C23" s="1407"/>
      <c r="D23" s="1407"/>
      <c r="E23" s="1407"/>
      <c r="F23" s="1407"/>
      <c r="G23" s="1407"/>
      <c r="H23" s="1407"/>
      <c r="I23" s="1407"/>
      <c r="J23" s="1407"/>
      <c r="K23" s="1407"/>
      <c r="L23" s="1407"/>
      <c r="M23" s="1407"/>
      <c r="N23" s="1407"/>
      <c r="O23" s="1407"/>
      <c r="P23" s="1407"/>
      <c r="Q23" s="1408"/>
      <c r="R23" s="1405"/>
      <c r="S23" s="1405"/>
    </row>
    <row r="24" spans="1:19" ht="24.6" customHeight="1">
      <c r="A24" s="1406" t="s">
        <v>3108</v>
      </c>
      <c r="B24" s="1407"/>
      <c r="C24" s="1407"/>
      <c r="D24" s="1407"/>
      <c r="E24" s="1407"/>
      <c r="F24" s="1407"/>
      <c r="G24" s="1407"/>
      <c r="H24" s="1407"/>
      <c r="I24" s="1407"/>
      <c r="J24" s="1407"/>
      <c r="K24" s="1407"/>
      <c r="L24" s="1407"/>
      <c r="M24" s="1407"/>
      <c r="N24" s="1407"/>
      <c r="O24" s="1407"/>
      <c r="P24" s="1407"/>
      <c r="Q24" s="1408"/>
      <c r="R24" s="1405"/>
      <c r="S24" s="1405"/>
    </row>
    <row r="25" spans="1:19" ht="24.6" customHeight="1">
      <c r="A25" s="1406" t="s">
        <v>3109</v>
      </c>
      <c r="B25" s="1407"/>
      <c r="C25" s="1407"/>
      <c r="D25" s="1407"/>
      <c r="E25" s="1407"/>
      <c r="F25" s="1407"/>
      <c r="G25" s="1407"/>
      <c r="H25" s="1407"/>
      <c r="I25" s="1407"/>
      <c r="J25" s="1407"/>
      <c r="K25" s="1407"/>
      <c r="L25" s="1407"/>
      <c r="M25" s="1407"/>
      <c r="N25" s="1407"/>
      <c r="O25" s="1407"/>
      <c r="P25" s="1407"/>
      <c r="Q25" s="1408"/>
      <c r="R25" s="1405"/>
      <c r="S25" s="1405"/>
    </row>
    <row r="26" spans="1:19" ht="24.6" customHeight="1">
      <c r="A26" s="1406" t="s">
        <v>3110</v>
      </c>
      <c r="B26" s="1407"/>
      <c r="C26" s="1407"/>
      <c r="D26" s="1407"/>
      <c r="E26" s="1407"/>
      <c r="F26" s="1407"/>
      <c r="G26" s="1407"/>
      <c r="H26" s="1407"/>
      <c r="I26" s="1407"/>
      <c r="J26" s="1407"/>
      <c r="K26" s="1407"/>
      <c r="L26" s="1407"/>
      <c r="M26" s="1407"/>
      <c r="N26" s="1407"/>
      <c r="O26" s="1407"/>
      <c r="P26" s="1407"/>
      <c r="Q26" s="1408"/>
      <c r="R26" s="741"/>
      <c r="S26" s="741"/>
    </row>
    <row r="27" spans="1:19" ht="24.6" customHeight="1">
      <c r="A27" s="1418" t="s">
        <v>3111</v>
      </c>
      <c r="B27" s="1419"/>
      <c r="C27" s="1419"/>
      <c r="D27" s="1419"/>
      <c r="E27" s="1419"/>
      <c r="F27" s="1419"/>
      <c r="G27" s="1419"/>
      <c r="H27" s="1419"/>
      <c r="I27" s="1419"/>
      <c r="J27" s="1419"/>
      <c r="K27" s="1419"/>
      <c r="L27" s="1419"/>
      <c r="M27" s="1419"/>
      <c r="N27" s="1419"/>
      <c r="O27" s="1419"/>
      <c r="P27" s="1419"/>
      <c r="Q27" s="1420"/>
      <c r="R27" s="741"/>
      <c r="S27" s="741"/>
    </row>
    <row r="28" spans="1:19" ht="6" customHeight="1"/>
    <row r="29" spans="1:19" ht="13.95" customHeight="1">
      <c r="A29" s="176">
        <v>1</v>
      </c>
      <c r="B29" s="177" t="s">
        <v>102</v>
      </c>
      <c r="C29" s="178"/>
      <c r="D29" s="118"/>
      <c r="E29" s="118"/>
      <c r="F29" s="118"/>
      <c r="G29" s="118"/>
      <c r="I29" s="179"/>
      <c r="J29" s="179"/>
      <c r="K29" s="179"/>
      <c r="L29" s="738"/>
      <c r="M29" s="738"/>
      <c r="O29" s="180" t="s">
        <v>2923</v>
      </c>
      <c r="P29" s="1386"/>
      <c r="Q29" s="1387"/>
    </row>
    <row r="30" spans="1:19" ht="3" customHeight="1"/>
    <row r="31" spans="1:19" ht="12" customHeight="1">
      <c r="B31" s="192" t="s">
        <v>3060</v>
      </c>
      <c r="C31" s="65" t="s">
        <v>1077</v>
      </c>
      <c r="E31" s="40"/>
      <c r="F31" s="40"/>
      <c r="G31" s="40"/>
      <c r="H31" s="40"/>
      <c r="I31" s="52"/>
      <c r="J31" s="42"/>
      <c r="K31" s="52"/>
      <c r="L31" s="42"/>
      <c r="M31" s="42"/>
      <c r="O31" s="83" t="s">
        <v>923</v>
      </c>
      <c r="P31" s="795" t="s">
        <v>3965</v>
      </c>
      <c r="Q31" s="234"/>
    </row>
    <row r="32" spans="1:19" ht="12" customHeight="1">
      <c r="B32" s="57" t="s">
        <v>3063</v>
      </c>
      <c r="C32" s="65" t="s">
        <v>1078</v>
      </c>
      <c r="E32" s="40"/>
      <c r="F32" s="40"/>
      <c r="G32" s="40"/>
      <c r="H32" s="40"/>
      <c r="J32" s="1415" t="s">
        <v>3262</v>
      </c>
      <c r="K32" s="1416"/>
      <c r="L32" s="1416"/>
      <c r="M32" s="1416"/>
      <c r="N32" s="1417"/>
      <c r="O32" s="83"/>
      <c r="P32" s="83"/>
      <c r="Q32" s="83"/>
    </row>
    <row r="33" spans="1:31" ht="11.25" customHeight="1">
      <c r="B33" s="84" t="s">
        <v>2921</v>
      </c>
      <c r="C33" s="84"/>
      <c r="D33" s="84"/>
      <c r="E33" s="84"/>
      <c r="F33" s="84"/>
      <c r="G33" s="179"/>
      <c r="H33" s="179"/>
      <c r="I33" s="179"/>
      <c r="J33" s="179"/>
      <c r="K33" s="738"/>
      <c r="L33" s="738"/>
      <c r="M33" s="738"/>
      <c r="N33" s="738"/>
      <c r="O33" s="738"/>
      <c r="P33" s="63"/>
      <c r="S33" s="217"/>
      <c r="T33" s="217"/>
    </row>
    <row r="34" spans="1:31" ht="12" customHeight="1">
      <c r="A34" s="1389"/>
      <c r="B34" s="1390"/>
      <c r="C34" s="1390"/>
      <c r="D34" s="1390"/>
      <c r="E34" s="1390"/>
      <c r="F34" s="1390"/>
      <c r="G34" s="1390"/>
      <c r="H34" s="1390"/>
      <c r="I34" s="1390"/>
      <c r="J34" s="1390"/>
      <c r="K34" s="1390"/>
      <c r="L34" s="1390"/>
      <c r="M34" s="1390"/>
      <c r="N34" s="1390"/>
      <c r="O34" s="1390"/>
      <c r="P34" s="1390"/>
      <c r="Q34" s="1391"/>
      <c r="R34" s="1405" t="s">
        <v>1932</v>
      </c>
      <c r="S34" s="1405"/>
      <c r="T34" s="217"/>
      <c r="U34" s="185"/>
      <c r="V34" s="185"/>
      <c r="W34" s="185"/>
      <c r="X34" s="185"/>
      <c r="Y34" s="185"/>
      <c r="Z34" s="185"/>
      <c r="AA34" s="185"/>
      <c r="AB34" s="185"/>
      <c r="AC34" s="185"/>
      <c r="AD34" s="185"/>
      <c r="AE34" s="186"/>
    </row>
    <row r="35" spans="1:31" ht="12" customHeight="1">
      <c r="A35" s="1409"/>
      <c r="B35" s="1410"/>
      <c r="C35" s="1410"/>
      <c r="D35" s="1410"/>
      <c r="E35" s="1410"/>
      <c r="F35" s="1410"/>
      <c r="G35" s="1410"/>
      <c r="H35" s="1410"/>
      <c r="I35" s="1410"/>
      <c r="J35" s="1410"/>
      <c r="K35" s="1410"/>
      <c r="L35" s="1410"/>
      <c r="M35" s="1410"/>
      <c r="N35" s="1410"/>
      <c r="O35" s="1410"/>
      <c r="P35" s="1410"/>
      <c r="Q35" s="1411"/>
      <c r="R35" s="1405"/>
      <c r="S35" s="1405"/>
      <c r="T35" s="217"/>
    </row>
    <row r="36" spans="1:31" ht="12" customHeight="1">
      <c r="A36" s="1383"/>
      <c r="B36" s="1384"/>
      <c r="C36" s="1384"/>
      <c r="D36" s="1384"/>
      <c r="E36" s="1384"/>
      <c r="F36" s="1384"/>
      <c r="G36" s="1384"/>
      <c r="H36" s="1384"/>
      <c r="I36" s="1384"/>
      <c r="J36" s="1384"/>
      <c r="K36" s="1384"/>
      <c r="L36" s="1384"/>
      <c r="M36" s="1384"/>
      <c r="N36" s="1384"/>
      <c r="O36" s="1384"/>
      <c r="P36" s="1384"/>
      <c r="Q36" s="1385"/>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1380"/>
      <c r="B38" s="1381"/>
      <c r="C38" s="1381"/>
      <c r="D38" s="1381"/>
      <c r="E38" s="1381"/>
      <c r="F38" s="1381"/>
      <c r="G38" s="1381"/>
      <c r="H38" s="1381"/>
      <c r="I38" s="1381"/>
      <c r="J38" s="1381"/>
      <c r="K38" s="1381"/>
      <c r="L38" s="1381"/>
      <c r="M38" s="1381"/>
      <c r="N38" s="1381"/>
      <c r="O38" s="1381"/>
      <c r="P38" s="1381"/>
      <c r="Q38" s="1382"/>
      <c r="R38" s="1405" t="s">
        <v>1932</v>
      </c>
      <c r="S38" s="1405"/>
    </row>
    <row r="39" spans="1:31" ht="12" customHeight="1">
      <c r="A39" s="1412"/>
      <c r="B39" s="1413"/>
      <c r="C39" s="1413"/>
      <c r="D39" s="1413"/>
      <c r="E39" s="1413"/>
      <c r="F39" s="1413"/>
      <c r="G39" s="1413"/>
      <c r="H39" s="1413"/>
      <c r="I39" s="1413"/>
      <c r="J39" s="1413"/>
      <c r="K39" s="1413"/>
      <c r="L39" s="1413"/>
      <c r="M39" s="1413"/>
      <c r="N39" s="1413"/>
      <c r="O39" s="1413"/>
      <c r="P39" s="1413"/>
      <c r="Q39" s="1414"/>
      <c r="R39" s="1405"/>
      <c r="S39" s="1405"/>
    </row>
    <row r="40" spans="1:31" ht="12" customHeight="1">
      <c r="A40" s="1412"/>
      <c r="B40" s="1413"/>
      <c r="C40" s="1413"/>
      <c r="D40" s="1413"/>
      <c r="E40" s="1413"/>
      <c r="F40" s="1413"/>
      <c r="G40" s="1413"/>
      <c r="H40" s="1413"/>
      <c r="I40" s="1413"/>
      <c r="J40" s="1413"/>
      <c r="K40" s="1413"/>
      <c r="L40" s="1413"/>
      <c r="M40" s="1413"/>
      <c r="N40" s="1413"/>
      <c r="O40" s="1413"/>
      <c r="P40" s="1413"/>
      <c r="Q40" s="1414"/>
      <c r="R40" s="1405"/>
      <c r="S40" s="1405"/>
    </row>
    <row r="41" spans="1:31" ht="12" customHeight="1">
      <c r="A41" s="1412"/>
      <c r="B41" s="1413"/>
      <c r="C41" s="1413"/>
      <c r="D41" s="1413"/>
      <c r="E41" s="1413"/>
      <c r="F41" s="1413"/>
      <c r="G41" s="1413"/>
      <c r="H41" s="1413"/>
      <c r="I41" s="1413"/>
      <c r="J41" s="1413"/>
      <c r="K41" s="1413"/>
      <c r="L41" s="1413"/>
      <c r="M41" s="1413"/>
      <c r="N41" s="1413"/>
      <c r="O41" s="1413"/>
      <c r="P41" s="1413"/>
      <c r="Q41" s="1414"/>
    </row>
    <row r="42" spans="1:31" ht="12" customHeight="1">
      <c r="A42" s="1412"/>
      <c r="B42" s="1413"/>
      <c r="C42" s="1413"/>
      <c r="D42" s="1413"/>
      <c r="E42" s="1413"/>
      <c r="F42" s="1413"/>
      <c r="G42" s="1413"/>
      <c r="H42" s="1413"/>
      <c r="I42" s="1413"/>
      <c r="J42" s="1413"/>
      <c r="K42" s="1413"/>
      <c r="L42" s="1413"/>
      <c r="M42" s="1413"/>
      <c r="N42" s="1413"/>
      <c r="O42" s="1413"/>
      <c r="P42" s="1413"/>
      <c r="Q42" s="1414"/>
    </row>
    <row r="43" spans="1:31" ht="12" customHeight="1">
      <c r="A43" s="1398"/>
      <c r="B43" s="1399"/>
      <c r="C43" s="1399"/>
      <c r="D43" s="1399"/>
      <c r="E43" s="1399"/>
      <c r="F43" s="1399"/>
      <c r="G43" s="1399"/>
      <c r="H43" s="1399"/>
      <c r="I43" s="1399"/>
      <c r="J43" s="1399"/>
      <c r="K43" s="1399"/>
      <c r="L43" s="1399"/>
      <c r="M43" s="1399"/>
      <c r="N43" s="1399"/>
      <c r="O43" s="1399"/>
      <c r="P43" s="1399"/>
      <c r="Q43" s="1400"/>
    </row>
    <row r="44" spans="1:31" ht="3" customHeight="1">
      <c r="B44" s="179"/>
      <c r="C44" s="740"/>
      <c r="D44" s="740"/>
      <c r="E44" s="740"/>
      <c r="F44" s="740"/>
      <c r="G44" s="740"/>
      <c r="H44" s="740"/>
      <c r="I44" s="740"/>
      <c r="J44" s="740"/>
      <c r="K44" s="740"/>
      <c r="L44" s="740"/>
      <c r="M44" s="740"/>
      <c r="N44" s="740"/>
      <c r="O44" s="740"/>
      <c r="P44" s="740"/>
      <c r="Q44" s="738"/>
    </row>
    <row r="45" spans="1:31" ht="13.95" customHeight="1">
      <c r="A45" s="742">
        <v>2</v>
      </c>
      <c r="B45" s="5" t="s">
        <v>2084</v>
      </c>
      <c r="C45" s="5"/>
      <c r="D45" s="5"/>
      <c r="E45" s="740"/>
      <c r="F45" s="740"/>
      <c r="G45" s="740"/>
      <c r="H45" s="740"/>
      <c r="K45" s="740"/>
      <c r="L45" s="740"/>
      <c r="M45" s="740"/>
      <c r="O45" s="180" t="s">
        <v>2923</v>
      </c>
      <c r="P45" s="1386"/>
      <c r="Q45" s="1387"/>
    </row>
    <row r="46" spans="1:31" ht="3" customHeight="1"/>
    <row r="47" spans="1:31" ht="11.4" customHeight="1">
      <c r="A47" s="189"/>
      <c r="C47" s="190" t="s">
        <v>113</v>
      </c>
      <c r="D47" s="190"/>
      <c r="E47" s="190"/>
      <c r="F47" s="190"/>
      <c r="G47" s="190"/>
      <c r="H47" s="190"/>
      <c r="J47" s="1474" t="str">
        <f>'Part I-Project Information'!$H$65</f>
        <v>Senior (HFOP)</v>
      </c>
      <c r="K47" s="1475"/>
      <c r="L47" s="1476"/>
      <c r="M47" s="740"/>
      <c r="N47" s="740"/>
      <c r="P47" s="795" t="s">
        <v>3963</v>
      </c>
      <c r="Q47" s="234"/>
    </row>
    <row r="48" spans="1:31" ht="11.25" customHeight="1">
      <c r="B48" s="131" t="s">
        <v>2921</v>
      </c>
      <c r="D48" s="131"/>
      <c r="E48" s="131"/>
      <c r="F48" s="131"/>
      <c r="G48" s="131"/>
      <c r="H48" s="50"/>
      <c r="I48" s="179"/>
      <c r="J48" s="179"/>
      <c r="K48" s="187" t="s">
        <v>2922</v>
      </c>
      <c r="L48" s="738"/>
      <c r="M48" s="738"/>
      <c r="N48" s="738"/>
      <c r="O48" s="738"/>
      <c r="P48" s="738"/>
      <c r="Q48" s="63"/>
    </row>
    <row r="49" spans="1:31" ht="11.4" customHeight="1">
      <c r="A49" s="1395"/>
      <c r="B49" s="1396"/>
      <c r="C49" s="1396"/>
      <c r="D49" s="1396"/>
      <c r="E49" s="1396"/>
      <c r="F49" s="1396"/>
      <c r="G49" s="1396"/>
      <c r="H49" s="1396"/>
      <c r="I49" s="1396"/>
      <c r="J49" s="1397"/>
      <c r="K49" s="1438"/>
      <c r="L49" s="1439"/>
      <c r="M49" s="1439"/>
      <c r="N49" s="1439"/>
      <c r="O49" s="1439"/>
      <c r="P49" s="1439"/>
      <c r="Q49" s="144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5" customHeight="1">
      <c r="A51" s="742">
        <v>3</v>
      </c>
      <c r="B51" s="742" t="s">
        <v>681</v>
      </c>
      <c r="C51" s="153"/>
      <c r="D51" s="740"/>
      <c r="E51" s="740"/>
      <c r="F51" s="740"/>
      <c r="G51" s="740"/>
      <c r="H51" s="740"/>
      <c r="I51" s="740"/>
      <c r="J51" s="740"/>
      <c r="K51" s="740"/>
      <c r="L51" s="740"/>
      <c r="M51" s="740"/>
      <c r="O51" s="180" t="s">
        <v>2923</v>
      </c>
      <c r="P51" s="1386"/>
      <c r="Q51" s="1387"/>
    </row>
    <row r="52" spans="1:31" ht="3" customHeight="1"/>
    <row r="53" spans="1:31" ht="12.6" customHeight="1">
      <c r="B53" s="192" t="s">
        <v>3060</v>
      </c>
      <c r="C53" s="1430" t="s">
        <v>399</v>
      </c>
      <c r="D53" s="1430"/>
      <c r="E53" s="1430"/>
      <c r="F53" s="1430"/>
      <c r="G53" s="1430"/>
      <c r="H53" s="1430"/>
      <c r="I53" s="1430"/>
      <c r="J53" s="1430"/>
      <c r="K53" s="1430"/>
      <c r="L53" s="1430"/>
      <c r="M53" s="1430"/>
      <c r="O53" s="193"/>
      <c r="P53" s="795" t="s">
        <v>3982</v>
      </c>
      <c r="Q53" s="234"/>
    </row>
    <row r="54" spans="1:31" ht="12" customHeight="1">
      <c r="B54" s="57" t="s">
        <v>3063</v>
      </c>
      <c r="C54" s="40" t="s">
        <v>2229</v>
      </c>
      <c r="D54" s="40"/>
      <c r="E54" s="40"/>
      <c r="F54" s="40"/>
      <c r="G54" s="40"/>
      <c r="H54" s="40"/>
      <c r="I54" s="40"/>
      <c r="J54" s="40"/>
      <c r="K54" s="40"/>
      <c r="L54" s="40"/>
      <c r="M54" s="40"/>
      <c r="O54" s="40"/>
      <c r="P54" s="40"/>
      <c r="Q54" s="40"/>
    </row>
    <row r="55" spans="1:31" ht="10.95" customHeight="1">
      <c r="A55" s="194"/>
      <c r="B55" s="52"/>
      <c r="C55" s="83" t="s">
        <v>2764</v>
      </c>
      <c r="D55" s="40" t="s">
        <v>882</v>
      </c>
      <c r="E55" s="737"/>
      <c r="F55" s="737"/>
      <c r="G55" s="737"/>
      <c r="H55" s="42"/>
      <c r="I55" s="52"/>
      <c r="J55" s="52"/>
      <c r="K55" s="52"/>
      <c r="L55" s="42"/>
      <c r="M55" s="42"/>
      <c r="O55" s="83" t="s">
        <v>2764</v>
      </c>
      <c r="P55" s="795" t="s">
        <v>3963</v>
      </c>
      <c r="Q55" s="234"/>
    </row>
    <row r="56" spans="1:31" ht="10.95" customHeight="1">
      <c r="A56" s="194"/>
      <c r="B56" s="52"/>
      <c r="C56" s="83" t="s">
        <v>2765</v>
      </c>
      <c r="D56" s="40" t="s">
        <v>2845</v>
      </c>
      <c r="E56" s="737"/>
      <c r="F56" s="737"/>
      <c r="G56" s="737"/>
      <c r="H56" s="42"/>
      <c r="I56" s="52"/>
      <c r="J56" s="52"/>
      <c r="O56" s="83" t="s">
        <v>2765</v>
      </c>
      <c r="P56" s="795" t="s">
        <v>3963</v>
      </c>
      <c r="Q56" s="234"/>
    </row>
    <row r="57" spans="1:31" ht="10.95" customHeight="1">
      <c r="A57" s="194"/>
      <c r="B57" s="52"/>
      <c r="C57" s="83" t="s">
        <v>2766</v>
      </c>
      <c r="D57" s="40" t="s">
        <v>400</v>
      </c>
      <c r="E57" s="737"/>
      <c r="J57" s="83"/>
      <c r="K57" s="83" t="s">
        <v>2766</v>
      </c>
      <c r="L57" s="1392"/>
      <c r="M57" s="1393"/>
      <c r="N57" s="1393"/>
      <c r="O57" s="1393"/>
      <c r="P57" s="1394"/>
      <c r="Q57" s="234"/>
    </row>
    <row r="58" spans="1:31" ht="11.25" customHeight="1">
      <c r="B58" s="131" t="s">
        <v>2921</v>
      </c>
      <c r="D58" s="131"/>
      <c r="E58" s="131"/>
      <c r="F58" s="131"/>
      <c r="G58" s="131"/>
      <c r="H58" s="50"/>
      <c r="I58" s="179"/>
      <c r="J58" s="179"/>
      <c r="K58" s="179"/>
      <c r="L58" s="738"/>
      <c r="M58" s="738"/>
      <c r="N58" s="738"/>
      <c r="O58" s="738"/>
      <c r="P58" s="738"/>
      <c r="Q58" s="63"/>
    </row>
    <row r="59" spans="1:31" ht="12" customHeight="1">
      <c r="A59" s="1389"/>
      <c r="B59" s="1390"/>
      <c r="C59" s="1390"/>
      <c r="D59" s="1390"/>
      <c r="E59" s="1390"/>
      <c r="F59" s="1390"/>
      <c r="G59" s="1390"/>
      <c r="H59" s="1390"/>
      <c r="I59" s="1390"/>
      <c r="J59" s="1390"/>
      <c r="K59" s="1390"/>
      <c r="L59" s="1390"/>
      <c r="M59" s="1390"/>
      <c r="N59" s="1390"/>
      <c r="O59" s="1390"/>
      <c r="P59" s="1390"/>
      <c r="Q59" s="1391"/>
      <c r="U59" s="185"/>
      <c r="V59" s="185"/>
      <c r="W59" s="185"/>
      <c r="X59" s="185"/>
      <c r="Y59" s="185"/>
      <c r="Z59" s="185"/>
      <c r="AA59" s="185"/>
      <c r="AB59" s="185"/>
      <c r="AC59" s="185"/>
      <c r="AD59" s="185"/>
      <c r="AE59" s="186"/>
    </row>
    <row r="60" spans="1:31" ht="12" customHeight="1">
      <c r="A60" s="1383"/>
      <c r="B60" s="1384"/>
      <c r="C60" s="1384"/>
      <c r="D60" s="1384"/>
      <c r="E60" s="1384"/>
      <c r="F60" s="1384"/>
      <c r="G60" s="1384"/>
      <c r="H60" s="1384"/>
      <c r="I60" s="1384"/>
      <c r="J60" s="1384"/>
      <c r="K60" s="1384"/>
      <c r="L60" s="1384"/>
      <c r="M60" s="1384"/>
      <c r="N60" s="1384"/>
      <c r="O60" s="1384"/>
      <c r="P60" s="1384"/>
      <c r="Q60" s="1385"/>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1380"/>
      <c r="B62" s="1381"/>
      <c r="C62" s="1381"/>
      <c r="D62" s="1381"/>
      <c r="E62" s="1381"/>
      <c r="F62" s="1381"/>
      <c r="G62" s="1381"/>
      <c r="H62" s="1381"/>
      <c r="I62" s="1381"/>
      <c r="J62" s="1381"/>
      <c r="K62" s="1381"/>
      <c r="L62" s="1381"/>
      <c r="M62" s="1381"/>
      <c r="N62" s="1381"/>
      <c r="O62" s="1381"/>
      <c r="P62" s="1381"/>
      <c r="Q62" s="1382"/>
    </row>
    <row r="63" spans="1:31" ht="12" customHeight="1">
      <c r="A63" s="1398"/>
      <c r="B63" s="1399"/>
      <c r="C63" s="1399"/>
      <c r="D63" s="1399"/>
      <c r="E63" s="1399"/>
      <c r="F63" s="1399"/>
      <c r="G63" s="1399"/>
      <c r="H63" s="1399"/>
      <c r="I63" s="1399"/>
      <c r="J63" s="1399"/>
      <c r="K63" s="1399"/>
      <c r="L63" s="1399"/>
      <c r="M63" s="1399"/>
      <c r="N63" s="1399"/>
      <c r="O63" s="1399"/>
      <c r="P63" s="1399"/>
      <c r="Q63" s="1400"/>
    </row>
    <row r="64" spans="1:31" ht="4.95" customHeight="1">
      <c r="A64" s="738"/>
      <c r="B64" s="179"/>
      <c r="C64" s="740"/>
      <c r="D64" s="740"/>
      <c r="E64" s="740"/>
      <c r="F64" s="740"/>
      <c r="G64" s="740"/>
      <c r="H64" s="740"/>
      <c r="I64" s="740"/>
      <c r="J64" s="740"/>
      <c r="K64" s="740"/>
      <c r="L64" s="740"/>
      <c r="M64" s="740"/>
      <c r="N64" s="740"/>
      <c r="O64" s="740"/>
      <c r="P64" s="740"/>
      <c r="Q64" s="738"/>
    </row>
    <row r="65" spans="1:31" ht="13.95" customHeight="1">
      <c r="A65" s="742">
        <v>4</v>
      </c>
      <c r="B65" s="742" t="s">
        <v>3703</v>
      </c>
      <c r="C65" s="742"/>
      <c r="D65" s="740"/>
      <c r="E65" s="740"/>
      <c r="F65" s="740"/>
      <c r="G65" s="740"/>
      <c r="H65" s="740"/>
      <c r="I65" s="740"/>
      <c r="J65" s="740"/>
      <c r="K65" s="740"/>
      <c r="O65" s="180" t="s">
        <v>2923</v>
      </c>
      <c r="P65" s="1386"/>
      <c r="Q65" s="1387"/>
    </row>
    <row r="66" spans="1:31" ht="3" customHeight="1"/>
    <row r="67" spans="1:31" ht="12" customHeight="1">
      <c r="B67" s="57" t="s">
        <v>3060</v>
      </c>
      <c r="C67" s="195" t="s">
        <v>3730</v>
      </c>
      <c r="D67" s="182"/>
      <c r="E67" s="182"/>
      <c r="F67" s="182"/>
      <c r="G67" s="182"/>
      <c r="H67" s="182"/>
      <c r="I67" s="52"/>
      <c r="J67" s="52"/>
      <c r="K67" s="52"/>
      <c r="L67" s="62" t="s">
        <v>3060</v>
      </c>
      <c r="M67" s="1392" t="s">
        <v>3983</v>
      </c>
      <c r="N67" s="1393"/>
      <c r="O67" s="1393"/>
      <c r="P67" s="1424"/>
      <c r="Q67" s="234"/>
    </row>
    <row r="68" spans="1:31" ht="12" customHeight="1">
      <c r="B68" s="57" t="s">
        <v>3063</v>
      </c>
      <c r="C68" s="65" t="s">
        <v>3118</v>
      </c>
      <c r="D68" s="182"/>
      <c r="E68" s="182"/>
      <c r="F68" s="182"/>
      <c r="L68" s="62" t="s">
        <v>3063</v>
      </c>
      <c r="M68" s="1392" t="s">
        <v>4026</v>
      </c>
      <c r="N68" s="1393"/>
      <c r="O68" s="1393"/>
      <c r="P68" s="1424"/>
      <c r="Q68" s="234"/>
    </row>
    <row r="69" spans="1:31" ht="12" customHeight="1">
      <c r="B69" s="57" t="s">
        <v>1238</v>
      </c>
      <c r="C69" s="65" t="s">
        <v>3731</v>
      </c>
      <c r="D69" s="182"/>
      <c r="E69" s="182"/>
      <c r="F69" s="182"/>
      <c r="L69" s="62" t="s">
        <v>1238</v>
      </c>
      <c r="M69" s="1392" t="s">
        <v>4026</v>
      </c>
      <c r="N69" s="1393"/>
      <c r="O69" s="1393"/>
      <c r="P69" s="1424"/>
      <c r="Q69" s="351"/>
    </row>
    <row r="70" spans="1:31" ht="12" customHeight="1">
      <c r="B70" s="57" t="s">
        <v>3212</v>
      </c>
      <c r="C70" s="65" t="s">
        <v>3732</v>
      </c>
      <c r="D70" s="182"/>
      <c r="E70" s="182"/>
      <c r="F70" s="182"/>
      <c r="L70" s="62" t="s">
        <v>3212</v>
      </c>
      <c r="M70" s="1423">
        <v>0.22600000000000001</v>
      </c>
      <c r="N70" s="1393"/>
      <c r="O70" s="1393"/>
      <c r="P70" s="1424"/>
      <c r="Q70" s="234"/>
    </row>
    <row r="71" spans="1:31" ht="22.2" customHeight="1">
      <c r="B71" s="192" t="s">
        <v>2762</v>
      </c>
      <c r="C71" s="1388" t="s">
        <v>3556</v>
      </c>
      <c r="D71" s="1404"/>
      <c r="E71" s="1404"/>
      <c r="F71" s="1404"/>
      <c r="G71" s="1404"/>
      <c r="H71" s="1404"/>
      <c r="I71" s="1404"/>
      <c r="J71" s="1404"/>
      <c r="K71" s="1404"/>
      <c r="L71" s="737"/>
      <c r="M71" s="737"/>
      <c r="O71" s="62" t="s">
        <v>2762</v>
      </c>
      <c r="P71" s="795" t="s">
        <v>3965</v>
      </c>
      <c r="Q71" s="234"/>
    </row>
    <row r="72" spans="1:31" ht="12" customHeight="1">
      <c r="B72" s="57"/>
      <c r="C72" s="65"/>
      <c r="D72" s="711" t="s">
        <v>3593</v>
      </c>
      <c r="E72" s="40" t="s">
        <v>951</v>
      </c>
      <c r="F72" s="40"/>
      <c r="G72" s="65"/>
      <c r="H72" s="711" t="s">
        <v>3593</v>
      </c>
      <c r="I72" s="40" t="s">
        <v>951</v>
      </c>
      <c r="J72" s="40"/>
      <c r="K72" s="65"/>
      <c r="L72" s="711" t="s">
        <v>3593</v>
      </c>
      <c r="M72" s="40" t="s">
        <v>951</v>
      </c>
      <c r="N72" s="40"/>
      <c r="O72" s="65"/>
      <c r="P72" s="62"/>
      <c r="Q72" s="62"/>
    </row>
    <row r="73" spans="1:31" ht="12" customHeight="1">
      <c r="B73" s="57"/>
      <c r="C73" s="65">
        <v>1</v>
      </c>
      <c r="D73" s="807"/>
      <c r="E73" s="1421"/>
      <c r="F73" s="1422"/>
      <c r="G73" s="65">
        <v>4</v>
      </c>
      <c r="H73" s="807"/>
      <c r="I73" s="1421"/>
      <c r="J73" s="1422"/>
      <c r="K73" s="65">
        <v>7</v>
      </c>
      <c r="L73" s="807"/>
      <c r="M73" s="1421"/>
      <c r="N73" s="1422"/>
      <c r="O73" s="65"/>
      <c r="P73" s="62"/>
      <c r="Q73" s="62"/>
    </row>
    <row r="74" spans="1:31" ht="12" customHeight="1">
      <c r="B74" s="57"/>
      <c r="C74" s="65">
        <v>2</v>
      </c>
      <c r="D74" s="807"/>
      <c r="E74" s="1421"/>
      <c r="F74" s="1422"/>
      <c r="G74" s="65">
        <v>5</v>
      </c>
      <c r="H74" s="807"/>
      <c r="I74" s="1421"/>
      <c r="J74" s="1422"/>
      <c r="K74" s="65">
        <v>8</v>
      </c>
      <c r="L74" s="807"/>
      <c r="M74" s="1421"/>
      <c r="N74" s="1422"/>
      <c r="O74" s="65"/>
      <c r="P74" s="62"/>
      <c r="Q74" s="62"/>
    </row>
    <row r="75" spans="1:31" ht="12" customHeight="1">
      <c r="B75" s="57"/>
      <c r="C75" s="65">
        <v>3</v>
      </c>
      <c r="D75" s="807"/>
      <c r="E75" s="1421"/>
      <c r="F75" s="1422"/>
      <c r="G75" s="65">
        <v>6</v>
      </c>
      <c r="H75" s="807"/>
      <c r="I75" s="1421"/>
      <c r="J75" s="1422"/>
      <c r="K75" s="65">
        <v>9</v>
      </c>
      <c r="L75" s="807"/>
      <c r="M75" s="1421"/>
      <c r="N75" s="1422"/>
      <c r="O75" s="65"/>
      <c r="P75" s="62"/>
      <c r="Q75" s="62"/>
    </row>
    <row r="76" spans="1:31" ht="12" customHeight="1">
      <c r="B76" s="57" t="s">
        <v>2763</v>
      </c>
      <c r="C76" s="65" t="s">
        <v>1</v>
      </c>
      <c r="D76" s="182"/>
      <c r="E76" s="182"/>
      <c r="F76" s="182"/>
      <c r="G76" s="182"/>
      <c r="H76" s="182"/>
      <c r="I76" s="52"/>
      <c r="J76" s="52"/>
      <c r="K76" s="182"/>
      <c r="L76" s="737"/>
      <c r="M76" s="737"/>
      <c r="O76" s="62" t="s">
        <v>2763</v>
      </c>
      <c r="P76" s="795" t="s">
        <v>3963</v>
      </c>
      <c r="Q76" s="234"/>
    </row>
    <row r="77" spans="1:31" ht="11.25" customHeight="1">
      <c r="B77" s="191" t="s">
        <v>2921</v>
      </c>
      <c r="D77" s="191"/>
      <c r="E77" s="191"/>
      <c r="F77" s="191"/>
      <c r="G77" s="191"/>
      <c r="H77" s="50"/>
      <c r="I77" s="179"/>
      <c r="J77" s="179"/>
      <c r="K77" s="179"/>
      <c r="L77" s="738"/>
      <c r="M77" s="738"/>
      <c r="N77" s="738"/>
      <c r="O77" s="738"/>
      <c r="P77" s="738"/>
      <c r="Q77" s="63"/>
    </row>
    <row r="78" spans="1:31" ht="22.95" customHeight="1">
      <c r="A78" s="1389"/>
      <c r="B78" s="1390"/>
      <c r="C78" s="1390"/>
      <c r="D78" s="1390"/>
      <c r="E78" s="1390"/>
      <c r="F78" s="1390"/>
      <c r="G78" s="1390"/>
      <c r="H78" s="1390"/>
      <c r="I78" s="1390"/>
      <c r="J78" s="1390"/>
      <c r="K78" s="1390"/>
      <c r="L78" s="1390"/>
      <c r="M78" s="1390"/>
      <c r="N78" s="1390"/>
      <c r="O78" s="1390"/>
      <c r="P78" s="1390"/>
      <c r="Q78" s="1391"/>
      <c r="U78" s="185"/>
      <c r="V78" s="185"/>
      <c r="W78" s="185"/>
      <c r="X78" s="185"/>
      <c r="Y78" s="185"/>
      <c r="Z78" s="185"/>
      <c r="AA78" s="185"/>
      <c r="AB78" s="185"/>
      <c r="AC78" s="185"/>
      <c r="AD78" s="185"/>
      <c r="AE78" s="186"/>
    </row>
    <row r="79" spans="1:31" ht="22.95" customHeight="1">
      <c r="A79" s="1383"/>
      <c r="B79" s="1384"/>
      <c r="C79" s="1384"/>
      <c r="D79" s="1384"/>
      <c r="E79" s="1384"/>
      <c r="F79" s="1384"/>
      <c r="G79" s="1384"/>
      <c r="H79" s="1384"/>
      <c r="I79" s="1384"/>
      <c r="J79" s="1384"/>
      <c r="K79" s="1384"/>
      <c r="L79" s="1384"/>
      <c r="M79" s="1384"/>
      <c r="N79" s="1384"/>
      <c r="O79" s="1384"/>
      <c r="P79" s="1384"/>
      <c r="Q79" s="1385"/>
    </row>
    <row r="80" spans="1:31" ht="11.25" customHeight="1">
      <c r="B80" s="187" t="s">
        <v>2922</v>
      </c>
      <c r="C80" s="188"/>
      <c r="D80" s="740"/>
      <c r="E80" s="740"/>
      <c r="F80" s="740"/>
      <c r="G80" s="740"/>
      <c r="H80" s="740"/>
      <c r="I80" s="740"/>
      <c r="J80" s="740"/>
      <c r="K80" s="740"/>
      <c r="L80" s="740"/>
      <c r="M80" s="740"/>
      <c r="N80" s="740"/>
      <c r="O80" s="740"/>
      <c r="P80" s="740"/>
      <c r="Q80" s="740"/>
    </row>
    <row r="81" spans="1:17" ht="22.95" customHeight="1">
      <c r="A81" s="1380"/>
      <c r="B81" s="1381"/>
      <c r="C81" s="1381"/>
      <c r="D81" s="1381"/>
      <c r="E81" s="1381"/>
      <c r="F81" s="1381"/>
      <c r="G81" s="1381"/>
      <c r="H81" s="1381"/>
      <c r="I81" s="1381"/>
      <c r="J81" s="1381"/>
      <c r="K81" s="1381"/>
      <c r="L81" s="1381"/>
      <c r="M81" s="1381"/>
      <c r="N81" s="1381"/>
      <c r="O81" s="1381"/>
      <c r="P81" s="1381"/>
      <c r="Q81" s="1382"/>
    </row>
    <row r="82" spans="1:17" ht="22.95" customHeight="1">
      <c r="A82" s="1398"/>
      <c r="B82" s="1399"/>
      <c r="C82" s="1399"/>
      <c r="D82" s="1399"/>
      <c r="E82" s="1399"/>
      <c r="F82" s="1399"/>
      <c r="G82" s="1399"/>
      <c r="H82" s="1399"/>
      <c r="I82" s="1399"/>
      <c r="J82" s="1399"/>
      <c r="K82" s="1399"/>
      <c r="L82" s="1399"/>
      <c r="M82" s="1399"/>
      <c r="N82" s="1399"/>
      <c r="O82" s="1399"/>
      <c r="P82" s="1399"/>
      <c r="Q82" s="1400"/>
    </row>
    <row r="83" spans="1:17" ht="13.95" customHeight="1">
      <c r="A83" s="742">
        <v>5</v>
      </c>
      <c r="B83" s="742" t="s">
        <v>291</v>
      </c>
      <c r="C83" s="742"/>
      <c r="D83" s="740"/>
      <c r="E83" s="740"/>
      <c r="F83" s="740"/>
      <c r="G83" s="740"/>
      <c r="H83" s="740"/>
      <c r="I83" s="740"/>
      <c r="J83" s="740"/>
      <c r="K83" s="740"/>
      <c r="L83" s="740"/>
      <c r="M83" s="740"/>
      <c r="O83" s="180" t="s">
        <v>2923</v>
      </c>
      <c r="P83" s="1386"/>
      <c r="Q83" s="1387"/>
    </row>
    <row r="84" spans="1:17" ht="3" customHeight="1"/>
    <row r="85" spans="1:17" ht="12" customHeight="1">
      <c r="B85" s="57" t="s">
        <v>3060</v>
      </c>
      <c r="C85" s="65" t="s">
        <v>729</v>
      </c>
      <c r="D85" s="65"/>
      <c r="E85" s="65"/>
      <c r="F85" s="65"/>
      <c r="G85" s="65"/>
      <c r="H85" s="65"/>
      <c r="I85" s="65"/>
      <c r="J85" s="65"/>
      <c r="K85" s="65"/>
      <c r="L85" s="65"/>
      <c r="M85" s="65"/>
      <c r="O85" s="62" t="s">
        <v>3060</v>
      </c>
      <c r="P85" s="795" t="s">
        <v>3965</v>
      </c>
      <c r="Q85" s="234"/>
    </row>
    <row r="86" spans="1:17" ht="12" customHeight="1">
      <c r="B86" s="57" t="s">
        <v>3063</v>
      </c>
      <c r="C86" s="65" t="s">
        <v>2005</v>
      </c>
      <c r="D86" s="65"/>
      <c r="E86" s="65"/>
      <c r="F86" s="65"/>
      <c r="G86" s="65"/>
      <c r="H86" s="65"/>
      <c r="I86" s="65"/>
      <c r="J86" s="65"/>
      <c r="K86" s="65"/>
      <c r="L86" s="40"/>
      <c r="M86" s="40"/>
      <c r="O86" s="62" t="s">
        <v>3063</v>
      </c>
      <c r="P86" s="795" t="s">
        <v>3965</v>
      </c>
      <c r="Q86" s="234"/>
    </row>
    <row r="87" spans="1:17" ht="12" customHeight="1">
      <c r="A87" s="181"/>
      <c r="B87" s="46"/>
      <c r="D87" s="49" t="s">
        <v>849</v>
      </c>
      <c r="E87" s="52"/>
      <c r="F87" s="52"/>
      <c r="G87" s="52"/>
      <c r="H87" s="52"/>
      <c r="I87" s="52"/>
      <c r="K87" s="49" t="s">
        <v>850</v>
      </c>
      <c r="M87" s="1470"/>
      <c r="N87" s="1471"/>
      <c r="O87" s="1471"/>
      <c r="P87" s="1472"/>
      <c r="Q87" s="234"/>
    </row>
    <row r="88" spans="1:17" ht="22.95" customHeight="1">
      <c r="A88" s="194"/>
      <c r="B88" s="179"/>
      <c r="C88" s="203" t="s">
        <v>2764</v>
      </c>
      <c r="D88" s="1362" t="s">
        <v>678</v>
      </c>
      <c r="E88" s="911"/>
      <c r="F88" s="911"/>
      <c r="G88" s="911"/>
      <c r="H88" s="911"/>
      <c r="I88" s="911"/>
      <c r="J88" s="911"/>
      <c r="K88" s="911"/>
      <c r="L88" s="911"/>
      <c r="M88" s="911"/>
      <c r="N88" s="911"/>
      <c r="O88" s="203" t="s">
        <v>2764</v>
      </c>
      <c r="P88" s="795"/>
      <c r="Q88" s="234"/>
    </row>
    <row r="89" spans="1:17" ht="12" customHeight="1">
      <c r="A89" s="194"/>
      <c r="B89" s="179"/>
      <c r="C89" s="83" t="s">
        <v>2765</v>
      </c>
      <c r="D89" s="65" t="s">
        <v>187</v>
      </c>
      <c r="E89" s="65"/>
      <c r="F89" s="65"/>
      <c r="G89" s="65"/>
      <c r="H89" s="65"/>
      <c r="I89" s="65"/>
      <c r="J89" s="65"/>
      <c r="K89" s="65"/>
      <c r="L89" s="65"/>
      <c r="M89" s="65"/>
      <c r="O89" s="83" t="s">
        <v>2765</v>
      </c>
      <c r="P89" s="795"/>
      <c r="Q89" s="234"/>
    </row>
    <row r="90" spans="1:17" ht="12" customHeight="1">
      <c r="A90" s="194"/>
      <c r="B90" s="179"/>
      <c r="C90" s="83" t="s">
        <v>2766</v>
      </c>
      <c r="D90" s="65" t="s">
        <v>188</v>
      </c>
      <c r="E90" s="65"/>
      <c r="F90" s="65"/>
      <c r="G90" s="65"/>
      <c r="H90" s="65"/>
      <c r="I90" s="65"/>
      <c r="J90" s="65"/>
      <c r="K90" s="65"/>
      <c r="L90" s="65"/>
      <c r="M90" s="65"/>
      <c r="O90" s="83" t="s">
        <v>2766</v>
      </c>
      <c r="P90" s="795"/>
      <c r="Q90" s="234"/>
    </row>
    <row r="91" spans="1:17" ht="12" customHeight="1">
      <c r="B91" s="57" t="s">
        <v>1238</v>
      </c>
      <c r="C91" s="65" t="s">
        <v>191</v>
      </c>
      <c r="D91" s="65"/>
      <c r="E91" s="65"/>
      <c r="F91" s="65"/>
      <c r="G91" s="65"/>
      <c r="H91" s="65"/>
      <c r="I91" s="65"/>
      <c r="J91" s="65"/>
      <c r="K91" s="65"/>
      <c r="L91" s="65"/>
      <c r="M91" s="65"/>
      <c r="O91" s="62" t="s">
        <v>1238</v>
      </c>
      <c r="P91" s="795"/>
      <c r="Q91" s="234"/>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795" t="s">
        <v>3963</v>
      </c>
      <c r="Q93" s="234"/>
    </row>
    <row r="94" spans="1:17" ht="12" customHeight="1">
      <c r="B94" s="57"/>
      <c r="C94" s="83" t="s">
        <v>2765</v>
      </c>
      <c r="D94" s="65" t="s">
        <v>2150</v>
      </c>
      <c r="E94" s="65"/>
      <c r="F94" s="65"/>
      <c r="G94" s="65"/>
      <c r="H94" s="65"/>
      <c r="I94" s="65"/>
      <c r="J94" s="65"/>
      <c r="K94" s="65"/>
      <c r="L94" s="40"/>
      <c r="M94" s="40"/>
      <c r="O94" s="83" t="s">
        <v>2765</v>
      </c>
      <c r="P94" s="795" t="s">
        <v>3963</v>
      </c>
      <c r="Q94" s="234"/>
    </row>
    <row r="95" spans="1:17" ht="12" customHeight="1">
      <c r="B95" s="57"/>
      <c r="C95" s="83" t="s">
        <v>2766</v>
      </c>
      <c r="D95" s="65" t="s">
        <v>2151</v>
      </c>
      <c r="E95" s="65"/>
      <c r="F95" s="65"/>
      <c r="G95" s="65"/>
      <c r="H95" s="65"/>
      <c r="I95" s="65"/>
      <c r="J95" s="65"/>
      <c r="K95" s="65"/>
      <c r="L95" s="40"/>
      <c r="M95" s="40"/>
      <c r="O95" s="83" t="s">
        <v>2766</v>
      </c>
      <c r="P95" s="795" t="s">
        <v>3965</v>
      </c>
      <c r="Q95" s="234"/>
    </row>
    <row r="96" spans="1:17" ht="11.25" customHeight="1">
      <c r="B96" s="191" t="s">
        <v>2921</v>
      </c>
      <c r="D96" s="191"/>
      <c r="E96" s="191"/>
      <c r="F96" s="191"/>
      <c r="G96" s="191"/>
      <c r="H96" s="50"/>
      <c r="I96" s="179"/>
      <c r="J96" s="179"/>
      <c r="K96" s="179"/>
      <c r="L96" s="738"/>
      <c r="M96" s="738"/>
      <c r="N96" s="738"/>
      <c r="O96" s="738"/>
      <c r="P96" s="738"/>
      <c r="Q96" s="63"/>
    </row>
    <row r="97" spans="1:31" ht="13.2" customHeight="1">
      <c r="A97" s="1389" t="s">
        <v>3984</v>
      </c>
      <c r="B97" s="1390"/>
      <c r="C97" s="1390"/>
      <c r="D97" s="1390"/>
      <c r="E97" s="1390"/>
      <c r="F97" s="1390"/>
      <c r="G97" s="1390"/>
      <c r="H97" s="1390"/>
      <c r="I97" s="1390"/>
      <c r="J97" s="1390"/>
      <c r="K97" s="1390"/>
      <c r="L97" s="1390"/>
      <c r="M97" s="1390"/>
      <c r="N97" s="1390"/>
      <c r="O97" s="1390"/>
      <c r="P97" s="1390"/>
      <c r="Q97" s="1391"/>
      <c r="U97" s="185"/>
      <c r="V97" s="185"/>
      <c r="W97" s="185"/>
      <c r="X97" s="185"/>
      <c r="Y97" s="185"/>
      <c r="Z97" s="185"/>
      <c r="AA97" s="185"/>
      <c r="AB97" s="185"/>
      <c r="AC97" s="185"/>
      <c r="AD97" s="185"/>
      <c r="AE97" s="186"/>
    </row>
    <row r="98" spans="1:31" ht="13.2" customHeight="1">
      <c r="A98" s="1383"/>
      <c r="B98" s="1384"/>
      <c r="C98" s="1384"/>
      <c r="D98" s="1384"/>
      <c r="E98" s="1384"/>
      <c r="F98" s="1384"/>
      <c r="G98" s="1384"/>
      <c r="H98" s="1384"/>
      <c r="I98" s="1384"/>
      <c r="J98" s="1384"/>
      <c r="K98" s="1384"/>
      <c r="L98" s="1384"/>
      <c r="M98" s="1384"/>
      <c r="N98" s="1384"/>
      <c r="O98" s="1384"/>
      <c r="P98" s="1384"/>
      <c r="Q98" s="1385"/>
    </row>
    <row r="99" spans="1:31" ht="11.25" customHeight="1">
      <c r="B99" s="187" t="s">
        <v>2922</v>
      </c>
      <c r="C99" s="188"/>
      <c r="D99" s="740"/>
      <c r="E99" s="740"/>
      <c r="F99" s="740"/>
      <c r="G99" s="740"/>
      <c r="H99" s="740"/>
      <c r="I99" s="740"/>
      <c r="J99" s="740"/>
      <c r="K99" s="740"/>
      <c r="L99" s="740"/>
      <c r="M99" s="740"/>
      <c r="N99" s="740"/>
      <c r="O99" s="740"/>
      <c r="P99" s="740"/>
      <c r="Q99" s="740"/>
    </row>
    <row r="100" spans="1:31" ht="13.2" customHeight="1">
      <c r="A100" s="1380"/>
      <c r="B100" s="1381"/>
      <c r="C100" s="1381"/>
      <c r="D100" s="1381"/>
      <c r="E100" s="1381"/>
      <c r="F100" s="1381"/>
      <c r="G100" s="1381"/>
      <c r="H100" s="1381"/>
      <c r="I100" s="1381"/>
      <c r="J100" s="1381"/>
      <c r="K100" s="1381"/>
      <c r="L100" s="1381"/>
      <c r="M100" s="1381"/>
      <c r="N100" s="1381"/>
      <c r="O100" s="1381"/>
      <c r="P100" s="1381"/>
      <c r="Q100" s="1382"/>
    </row>
    <row r="101" spans="1:31" ht="13.2" customHeight="1">
      <c r="A101" s="1398"/>
      <c r="B101" s="1399"/>
      <c r="C101" s="1399"/>
      <c r="D101" s="1399"/>
      <c r="E101" s="1399"/>
      <c r="F101" s="1399"/>
      <c r="G101" s="1399"/>
      <c r="H101" s="1399"/>
      <c r="I101" s="1399"/>
      <c r="J101" s="1399"/>
      <c r="K101" s="1399"/>
      <c r="L101" s="1399"/>
      <c r="M101" s="1399"/>
      <c r="N101" s="1399"/>
      <c r="O101" s="1399"/>
      <c r="P101" s="1399"/>
      <c r="Q101" s="1400"/>
    </row>
    <row r="102" spans="1:31" ht="4.95" customHeight="1">
      <c r="A102" s="738"/>
      <c r="B102" s="179"/>
      <c r="C102" s="740"/>
      <c r="D102" s="740"/>
      <c r="E102" s="740"/>
      <c r="F102" s="740"/>
      <c r="G102" s="740"/>
      <c r="H102" s="740"/>
      <c r="I102" s="740"/>
      <c r="J102" s="740"/>
      <c r="K102" s="740"/>
      <c r="L102" s="740"/>
      <c r="M102" s="740"/>
      <c r="N102" s="740"/>
      <c r="O102" s="740"/>
      <c r="P102" s="740"/>
      <c r="Q102" s="738"/>
    </row>
    <row r="103" spans="1:31" ht="13.95" customHeight="1">
      <c r="A103" s="742">
        <v>6</v>
      </c>
      <c r="B103" s="742" t="s">
        <v>331</v>
      </c>
      <c r="C103" s="50"/>
      <c r="D103" s="740"/>
      <c r="E103" s="740"/>
      <c r="F103" s="740"/>
      <c r="G103" s="740"/>
      <c r="H103" s="740"/>
      <c r="I103" s="740"/>
      <c r="J103" s="740"/>
      <c r="K103" s="740"/>
      <c r="L103" s="740"/>
      <c r="M103" s="740"/>
      <c r="O103" s="180" t="s">
        <v>2923</v>
      </c>
      <c r="P103" s="1386"/>
      <c r="Q103" s="1387"/>
    </row>
    <row r="104" spans="1:31" ht="6.6" customHeight="1"/>
    <row r="105" spans="1:31" ht="12" customHeight="1">
      <c r="B105" s="57" t="s">
        <v>3060</v>
      </c>
      <c r="C105" s="65" t="s">
        <v>202</v>
      </c>
      <c r="D105" s="182"/>
      <c r="E105" s="182"/>
      <c r="F105" s="182"/>
      <c r="G105" s="182"/>
      <c r="H105" s="182"/>
      <c r="I105" s="52"/>
      <c r="J105" s="52"/>
      <c r="K105" s="52"/>
      <c r="L105" s="62" t="s">
        <v>3060</v>
      </c>
      <c r="M105" s="1392" t="s">
        <v>3985</v>
      </c>
      <c r="N105" s="1393"/>
      <c r="O105" s="1393"/>
      <c r="P105" s="1394"/>
      <c r="Q105" s="234"/>
    </row>
    <row r="106" spans="1:31" ht="12" customHeight="1">
      <c r="B106" s="57" t="s">
        <v>3063</v>
      </c>
      <c r="C106" s="65" t="s">
        <v>2291</v>
      </c>
      <c r="D106" s="182"/>
      <c r="E106" s="182"/>
      <c r="F106" s="182"/>
      <c r="G106" s="182"/>
      <c r="H106" s="182"/>
      <c r="I106" s="52"/>
      <c r="J106" s="52"/>
      <c r="K106" s="182"/>
      <c r="L106" s="182"/>
      <c r="M106" s="737"/>
      <c r="O106" s="62" t="s">
        <v>3063</v>
      </c>
      <c r="P106" s="795" t="s">
        <v>3965</v>
      </c>
      <c r="Q106" s="351"/>
    </row>
    <row r="107" spans="1:31" ht="12" customHeight="1">
      <c r="B107" s="57" t="s">
        <v>1238</v>
      </c>
      <c r="C107" s="65" t="s">
        <v>205</v>
      </c>
      <c r="D107" s="182"/>
      <c r="E107" s="182"/>
      <c r="F107" s="182"/>
      <c r="G107" s="182"/>
      <c r="H107" s="182"/>
      <c r="I107" s="52"/>
      <c r="J107" s="52"/>
      <c r="K107" s="182"/>
      <c r="L107" s="737"/>
      <c r="M107" s="737"/>
      <c r="O107" s="62" t="s">
        <v>1238</v>
      </c>
      <c r="P107" s="795" t="s">
        <v>3963</v>
      </c>
      <c r="Q107" s="234"/>
    </row>
    <row r="108" spans="1:31" ht="12" customHeight="1">
      <c r="B108" s="189"/>
      <c r="C108" s="65" t="s">
        <v>2842</v>
      </c>
      <c r="D108" s="52"/>
      <c r="E108" s="52"/>
      <c r="F108" s="52"/>
      <c r="G108" s="52"/>
      <c r="H108" s="65"/>
      <c r="I108" s="52"/>
      <c r="J108" s="52"/>
      <c r="K108" s="182"/>
      <c r="L108" s="737"/>
      <c r="M108" s="737"/>
      <c r="P108" s="808" t="s">
        <v>4020</v>
      </c>
      <c r="Q108" s="351"/>
    </row>
    <row r="109" spans="1:31" ht="12" customHeight="1">
      <c r="B109" s="189"/>
      <c r="C109" s="65" t="s">
        <v>2089</v>
      </c>
      <c r="D109" s="52"/>
      <c r="E109" s="52"/>
      <c r="F109" s="52"/>
      <c r="G109" s="52"/>
      <c r="H109" s="65"/>
      <c r="I109" s="52"/>
      <c r="J109" s="52"/>
      <c r="K109" s="182"/>
      <c r="L109" s="737"/>
      <c r="M109" s="737"/>
      <c r="N109" s="737"/>
      <c r="O109" s="737"/>
    </row>
    <row r="110" spans="1:31" ht="11.4" customHeight="1">
      <c r="B110" s="738"/>
      <c r="C110" s="1427"/>
      <c r="D110" s="1428"/>
      <c r="E110" s="1428"/>
      <c r="F110" s="1428"/>
      <c r="G110" s="1428"/>
      <c r="H110" s="1428"/>
      <c r="I110" s="1428"/>
      <c r="J110" s="1428"/>
      <c r="K110" s="1428"/>
      <c r="L110" s="1428"/>
      <c r="M110" s="1428"/>
      <c r="N110" s="1428"/>
      <c r="O110" s="1429"/>
      <c r="P110" s="740"/>
      <c r="Q110" s="738"/>
    </row>
    <row r="111" spans="1:31" ht="12" customHeight="1">
      <c r="B111" s="57" t="s">
        <v>3212</v>
      </c>
      <c r="C111" s="65" t="s">
        <v>1944</v>
      </c>
      <c r="D111" s="182"/>
      <c r="E111" s="182"/>
      <c r="F111" s="182"/>
      <c r="G111" s="182"/>
      <c r="H111" s="182"/>
      <c r="I111" s="52"/>
      <c r="J111" s="52"/>
      <c r="K111" s="182"/>
      <c r="L111" s="737"/>
      <c r="M111" s="737"/>
      <c r="N111" s="737"/>
      <c r="O111" s="62" t="s">
        <v>3212</v>
      </c>
    </row>
    <row r="112" spans="1:31" ht="12" customHeight="1">
      <c r="B112" s="57"/>
      <c r="C112" s="83" t="s">
        <v>2764</v>
      </c>
      <c r="D112" s="65" t="s">
        <v>203</v>
      </c>
      <c r="E112" s="182"/>
      <c r="F112" s="182"/>
      <c r="G112" s="182"/>
      <c r="H112" s="182"/>
      <c r="I112" s="52"/>
      <c r="J112" s="52"/>
      <c r="K112" s="182"/>
      <c r="L112" s="737"/>
      <c r="M112" s="737"/>
      <c r="O112" s="83" t="s">
        <v>2764</v>
      </c>
      <c r="P112" s="795" t="s">
        <v>3965</v>
      </c>
      <c r="Q112" s="234"/>
    </row>
    <row r="113" spans="1:17" ht="12" customHeight="1">
      <c r="B113" s="57"/>
      <c r="C113" s="83" t="s">
        <v>2765</v>
      </c>
      <c r="D113" s="65" t="s">
        <v>1945</v>
      </c>
      <c r="E113" s="182"/>
      <c r="F113" s="182"/>
      <c r="G113" s="182"/>
      <c r="H113" s="52"/>
      <c r="I113" s="52"/>
      <c r="J113" s="52"/>
      <c r="K113" s="182"/>
      <c r="L113" s="737"/>
      <c r="M113" s="737"/>
      <c r="O113" s="83" t="s">
        <v>2765</v>
      </c>
      <c r="P113" s="808" t="s">
        <v>3965</v>
      </c>
      <c r="Q113" s="351"/>
    </row>
    <row r="114" spans="1:17" ht="12" customHeight="1">
      <c r="B114" s="57"/>
      <c r="C114" s="83"/>
      <c r="D114" s="65" t="s">
        <v>2970</v>
      </c>
      <c r="E114" s="52"/>
      <c r="F114" s="52"/>
      <c r="G114" s="52"/>
      <c r="H114" s="65"/>
      <c r="I114" s="52"/>
      <c r="J114" s="52"/>
      <c r="K114" s="182"/>
      <c r="L114" s="737"/>
      <c r="M114" s="737"/>
      <c r="O114" s="737"/>
      <c r="P114" s="809"/>
      <c r="Q114" s="457"/>
    </row>
    <row r="115" spans="1:17" ht="12" customHeight="1">
      <c r="B115" s="57"/>
      <c r="C115" s="83"/>
      <c r="D115" s="65" t="s">
        <v>3663</v>
      </c>
      <c r="E115" s="52"/>
      <c r="F115" s="52"/>
      <c r="G115" s="52"/>
      <c r="H115" s="65"/>
      <c r="I115" s="52"/>
      <c r="J115" s="52"/>
      <c r="K115" s="182"/>
      <c r="L115" s="737"/>
      <c r="M115" s="737"/>
      <c r="O115" s="737"/>
      <c r="P115" s="808"/>
      <c r="Q115" s="351"/>
    </row>
    <row r="116" spans="1:17" ht="12" customHeight="1">
      <c r="B116" s="57"/>
      <c r="C116" s="83"/>
      <c r="D116" s="65" t="s">
        <v>3244</v>
      </c>
      <c r="E116" s="52"/>
      <c r="F116" s="52"/>
      <c r="G116" s="52"/>
      <c r="H116" s="65"/>
      <c r="I116" s="52"/>
      <c r="J116" s="52"/>
      <c r="K116" s="182"/>
      <c r="L116" s="737"/>
      <c r="M116" s="737"/>
      <c r="O116" s="737"/>
      <c r="P116" s="808"/>
      <c r="Q116" s="351"/>
    </row>
    <row r="117" spans="1:17" ht="12" customHeight="1">
      <c r="B117" s="57"/>
      <c r="C117" s="83" t="s">
        <v>2766</v>
      </c>
      <c r="D117" s="65" t="s">
        <v>1946</v>
      </c>
      <c r="E117" s="182"/>
      <c r="F117" s="182"/>
      <c r="G117" s="182"/>
      <c r="H117" s="65"/>
      <c r="I117" s="52"/>
      <c r="J117" s="52"/>
      <c r="K117" s="182"/>
      <c r="L117" s="737"/>
      <c r="M117" s="737"/>
      <c r="O117" s="83" t="s">
        <v>2766</v>
      </c>
      <c r="P117" s="795" t="s">
        <v>3963</v>
      </c>
      <c r="Q117" s="234"/>
    </row>
    <row r="118" spans="1:17" ht="12" customHeight="1">
      <c r="B118" s="57"/>
      <c r="C118" s="83"/>
      <c r="D118" s="65" t="s">
        <v>1407</v>
      </c>
      <c r="E118" s="52"/>
      <c r="F118" s="52"/>
      <c r="G118" s="52"/>
      <c r="H118" s="65"/>
      <c r="I118" s="52"/>
      <c r="J118" s="52"/>
      <c r="K118" s="182"/>
      <c r="L118" s="737"/>
      <c r="M118" s="737"/>
      <c r="O118" s="737"/>
      <c r="P118" s="810">
        <v>0.04</v>
      </c>
      <c r="Q118" s="352"/>
    </row>
    <row r="119" spans="1:17" ht="12" customHeight="1">
      <c r="B119" s="57"/>
      <c r="C119" s="83"/>
      <c r="D119" s="65" t="s">
        <v>3245</v>
      </c>
      <c r="E119" s="52"/>
      <c r="F119" s="52"/>
      <c r="G119" s="52"/>
      <c r="H119" s="65"/>
      <c r="I119" s="52"/>
      <c r="J119" s="52"/>
      <c r="K119" s="182"/>
      <c r="L119" s="737"/>
      <c r="M119" s="737"/>
      <c r="O119" s="737"/>
      <c r="P119" s="808" t="s">
        <v>3965</v>
      </c>
      <c r="Q119" s="351"/>
    </row>
    <row r="120" spans="1:17" ht="12" customHeight="1">
      <c r="B120" s="57"/>
      <c r="C120" s="83"/>
      <c r="D120" s="65" t="s">
        <v>3244</v>
      </c>
      <c r="E120" s="52"/>
      <c r="F120" s="52"/>
      <c r="G120" s="52"/>
      <c r="H120" s="65"/>
      <c r="I120" s="52"/>
      <c r="J120" s="52"/>
      <c r="K120" s="182"/>
      <c r="L120" s="737"/>
      <c r="M120" s="737"/>
      <c r="O120" s="737"/>
      <c r="P120" s="808"/>
      <c r="Q120" s="351"/>
    </row>
    <row r="121" spans="1:17" ht="12" customHeight="1">
      <c r="B121" s="46"/>
      <c r="C121" s="83" t="s">
        <v>3571</v>
      </c>
      <c r="D121" s="65" t="s">
        <v>726</v>
      </c>
      <c r="E121" s="182"/>
      <c r="F121" s="182"/>
      <c r="G121" s="182"/>
      <c r="H121" s="182"/>
      <c r="I121" s="52"/>
      <c r="J121" s="52"/>
      <c r="K121" s="182"/>
      <c r="L121" s="737"/>
      <c r="M121" s="737"/>
      <c r="O121" s="83" t="s">
        <v>3571</v>
      </c>
      <c r="P121" s="795" t="s">
        <v>3963</v>
      </c>
      <c r="Q121" s="234"/>
    </row>
    <row r="122" spans="1:17" ht="12" customHeight="1">
      <c r="B122" s="57" t="s">
        <v>2762</v>
      </c>
      <c r="C122" s="196" t="s">
        <v>3658</v>
      </c>
      <c r="D122" s="182"/>
      <c r="E122" s="182"/>
      <c r="F122" s="182"/>
      <c r="G122" s="182"/>
      <c r="H122" s="182"/>
      <c r="I122" s="52"/>
      <c r="J122" s="52"/>
      <c r="K122" s="182"/>
      <c r="L122" s="737"/>
      <c r="M122" s="737"/>
      <c r="N122" s="737"/>
      <c r="O122" s="62" t="s">
        <v>2762</v>
      </c>
      <c r="P122" s="795" t="s">
        <v>3965</v>
      </c>
      <c r="Q122" s="234"/>
    </row>
    <row r="123" spans="1:17" ht="12" customHeight="1">
      <c r="B123" s="57"/>
      <c r="C123" s="83" t="s">
        <v>2764</v>
      </c>
      <c r="D123" s="65" t="s">
        <v>3659</v>
      </c>
      <c r="E123" s="182"/>
      <c r="F123" s="795" t="s">
        <v>3965</v>
      </c>
      <c r="G123" s="234"/>
      <c r="H123" s="83" t="s">
        <v>2766</v>
      </c>
      <c r="I123" s="65" t="s">
        <v>2305</v>
      </c>
      <c r="J123" s="795" t="s">
        <v>3965</v>
      </c>
      <c r="K123" s="234"/>
      <c r="L123" s="83" t="s">
        <v>2303</v>
      </c>
      <c r="M123" s="65" t="s">
        <v>3621</v>
      </c>
      <c r="N123" s="795" t="s">
        <v>3965</v>
      </c>
      <c r="O123" s="234"/>
    </row>
    <row r="124" spans="1:17" ht="12" customHeight="1">
      <c r="B124" s="46"/>
      <c r="C124" s="83" t="s">
        <v>2765</v>
      </c>
      <c r="D124" s="65" t="s">
        <v>3775</v>
      </c>
      <c r="E124" s="182"/>
      <c r="F124" s="795" t="s">
        <v>3965</v>
      </c>
      <c r="G124" s="234"/>
      <c r="H124" s="83" t="s">
        <v>3571</v>
      </c>
      <c r="I124" s="65" t="s">
        <v>2306</v>
      </c>
      <c r="J124" s="795" t="s">
        <v>3965</v>
      </c>
      <c r="K124" s="234"/>
      <c r="L124" s="83" t="s">
        <v>2304</v>
      </c>
      <c r="M124" s="65" t="s">
        <v>2307</v>
      </c>
      <c r="N124" s="795" t="s">
        <v>3965</v>
      </c>
      <c r="O124" s="234"/>
    </row>
    <row r="125" spans="1:17" ht="12" customHeight="1">
      <c r="B125" s="46"/>
      <c r="C125" s="83" t="s">
        <v>112</v>
      </c>
      <c r="D125" s="65" t="s">
        <v>53</v>
      </c>
      <c r="E125" s="182"/>
      <c r="F125" s="182"/>
      <c r="G125" s="182"/>
      <c r="H125" s="182"/>
      <c r="J125" s="1392"/>
      <c r="K125" s="1393"/>
      <c r="L125" s="1393"/>
      <c r="M125" s="1393"/>
      <c r="N125" s="1393"/>
      <c r="O125" s="1394"/>
    </row>
    <row r="126" spans="1:17" ht="12" customHeight="1">
      <c r="B126" s="57" t="s">
        <v>2763</v>
      </c>
      <c r="C126" s="65" t="s">
        <v>1983</v>
      </c>
      <c r="D126" s="182"/>
      <c r="E126" s="182"/>
      <c r="F126" s="182"/>
      <c r="G126" s="182"/>
      <c r="H126" s="182"/>
      <c r="I126" s="52"/>
      <c r="J126" s="52"/>
      <c r="K126" s="182"/>
      <c r="L126" s="182"/>
      <c r="M126" s="737"/>
      <c r="O126" s="62" t="s">
        <v>2763</v>
      </c>
      <c r="P126" s="795" t="s">
        <v>1580</v>
      </c>
      <c r="Q126" s="234"/>
    </row>
    <row r="127" spans="1:17" ht="12" customHeight="1">
      <c r="A127" s="194"/>
      <c r="B127" s="52"/>
      <c r="C127" s="83" t="s">
        <v>2764</v>
      </c>
      <c r="D127" s="65" t="s">
        <v>1079</v>
      </c>
      <c r="E127" s="182"/>
      <c r="F127" s="182"/>
      <c r="G127" s="182"/>
      <c r="H127" s="182"/>
      <c r="O127" s="83" t="s">
        <v>2764</v>
      </c>
      <c r="P127" s="795"/>
      <c r="Q127" s="234"/>
    </row>
    <row r="128" spans="1:17" ht="12" customHeight="1">
      <c r="A128" s="194"/>
      <c r="B128" s="179"/>
      <c r="C128" s="83" t="s">
        <v>2765</v>
      </c>
      <c r="D128" s="65" t="s">
        <v>725</v>
      </c>
      <c r="E128" s="65"/>
      <c r="F128" s="65"/>
      <c r="G128" s="65"/>
      <c r="H128" s="65"/>
      <c r="I128" s="52"/>
      <c r="J128" s="52"/>
      <c r="K128" s="65"/>
      <c r="L128" s="65"/>
      <c r="M128" s="65"/>
      <c r="O128" s="83" t="s">
        <v>2765</v>
      </c>
      <c r="P128" s="795"/>
      <c r="Q128" s="234"/>
    </row>
    <row r="129" spans="1:31" ht="12" customHeight="1">
      <c r="A129" s="194"/>
      <c r="B129" s="179"/>
      <c r="C129" s="83" t="s">
        <v>2766</v>
      </c>
      <c r="D129" s="65" t="s">
        <v>1031</v>
      </c>
      <c r="E129" s="65"/>
      <c r="F129" s="65"/>
      <c r="G129" s="65"/>
      <c r="H129" s="65"/>
      <c r="I129" s="52"/>
      <c r="J129" s="52"/>
      <c r="K129" s="65"/>
      <c r="L129" s="65"/>
      <c r="M129" s="65"/>
      <c r="O129" s="83" t="s">
        <v>2766</v>
      </c>
      <c r="P129" s="795"/>
      <c r="Q129" s="234"/>
    </row>
    <row r="130" spans="1:31" ht="12" customHeight="1">
      <c r="B130" s="57" t="s">
        <v>3020</v>
      </c>
      <c r="C130" s="65" t="s">
        <v>2781</v>
      </c>
      <c r="D130" s="182"/>
      <c r="E130" s="182"/>
      <c r="F130" s="182"/>
      <c r="G130" s="182"/>
      <c r="H130" s="182"/>
      <c r="I130" s="52"/>
      <c r="J130" s="52"/>
      <c r="K130" s="182"/>
      <c r="L130" s="182"/>
      <c r="M130" s="737"/>
      <c r="O130" s="62" t="s">
        <v>3020</v>
      </c>
      <c r="P130" s="795"/>
      <c r="Q130" s="234"/>
    </row>
    <row r="131" spans="1:31" ht="4.95" customHeight="1"/>
    <row r="132" spans="1:31" ht="11.25" customHeight="1">
      <c r="B132" s="191" t="s">
        <v>2921</v>
      </c>
      <c r="D132" s="191"/>
      <c r="E132" s="191"/>
      <c r="F132" s="191"/>
      <c r="G132" s="191"/>
      <c r="H132" s="50"/>
      <c r="I132" s="179"/>
      <c r="J132" s="179"/>
      <c r="K132" s="179"/>
      <c r="L132" s="738"/>
      <c r="M132" s="738"/>
      <c r="N132" s="738"/>
      <c r="O132" s="738"/>
      <c r="P132" s="738"/>
      <c r="Q132" s="63"/>
    </row>
    <row r="133" spans="1:31" ht="12" customHeight="1">
      <c r="A133" s="1389" t="s">
        <v>4021</v>
      </c>
      <c r="B133" s="1390"/>
      <c r="C133" s="1390"/>
      <c r="D133" s="1390"/>
      <c r="E133" s="1390"/>
      <c r="F133" s="1390"/>
      <c r="G133" s="1390"/>
      <c r="H133" s="1390"/>
      <c r="I133" s="1390"/>
      <c r="J133" s="1390"/>
      <c r="K133" s="1390"/>
      <c r="L133" s="1390"/>
      <c r="M133" s="1390"/>
      <c r="N133" s="1390"/>
      <c r="O133" s="1390"/>
      <c r="P133" s="1390"/>
      <c r="Q133" s="1391"/>
      <c r="R133" s="1405" t="s">
        <v>1932</v>
      </c>
      <c r="S133" s="1405"/>
      <c r="U133" s="185"/>
      <c r="V133" s="185"/>
      <c r="W133" s="185"/>
      <c r="X133" s="185"/>
      <c r="Y133" s="185"/>
      <c r="Z133" s="185"/>
      <c r="AA133" s="185"/>
      <c r="AB133" s="185"/>
      <c r="AC133" s="185"/>
      <c r="AD133" s="185"/>
      <c r="AE133" s="186"/>
    </row>
    <row r="134" spans="1:31" ht="12" customHeight="1">
      <c r="A134" s="1409" t="s">
        <v>4022</v>
      </c>
      <c r="B134" s="1410"/>
      <c r="C134" s="1410"/>
      <c r="D134" s="1410"/>
      <c r="E134" s="1410"/>
      <c r="F134" s="1410"/>
      <c r="G134" s="1410"/>
      <c r="H134" s="1410"/>
      <c r="I134" s="1410"/>
      <c r="J134" s="1410"/>
      <c r="K134" s="1410"/>
      <c r="L134" s="1410"/>
      <c r="M134" s="1410"/>
      <c r="N134" s="1410"/>
      <c r="O134" s="1410"/>
      <c r="P134" s="1410"/>
      <c r="Q134" s="1411"/>
      <c r="R134" s="1405"/>
      <c r="S134" s="1405"/>
    </row>
    <row r="135" spans="1:31" ht="12" customHeight="1">
      <c r="A135" s="1383"/>
      <c r="B135" s="1384"/>
      <c r="C135" s="1384"/>
      <c r="D135" s="1384"/>
      <c r="E135" s="1384"/>
      <c r="F135" s="1384"/>
      <c r="G135" s="1384"/>
      <c r="H135" s="1384"/>
      <c r="I135" s="1384"/>
      <c r="J135" s="1384"/>
      <c r="K135" s="1384"/>
      <c r="L135" s="1384"/>
      <c r="M135" s="1384"/>
      <c r="N135" s="1384"/>
      <c r="O135" s="1384"/>
      <c r="P135" s="1384"/>
      <c r="Q135" s="1385"/>
      <c r="R135" s="1405"/>
      <c r="S135" s="1405"/>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1380"/>
      <c r="B137" s="1381"/>
      <c r="C137" s="1381"/>
      <c r="D137" s="1381"/>
      <c r="E137" s="1381"/>
      <c r="F137" s="1381"/>
      <c r="G137" s="1381"/>
      <c r="H137" s="1381"/>
      <c r="I137" s="1381"/>
      <c r="J137" s="1381"/>
      <c r="K137" s="1381"/>
      <c r="L137" s="1381"/>
      <c r="M137" s="1381"/>
      <c r="N137" s="1381"/>
      <c r="O137" s="1381"/>
      <c r="P137" s="1381"/>
      <c r="Q137" s="1382"/>
      <c r="R137" s="1405" t="s">
        <v>1932</v>
      </c>
      <c r="S137" s="1405"/>
    </row>
    <row r="138" spans="1:31" ht="12" customHeight="1">
      <c r="A138" s="1412"/>
      <c r="B138" s="1413"/>
      <c r="C138" s="1413"/>
      <c r="D138" s="1413"/>
      <c r="E138" s="1413"/>
      <c r="F138" s="1413"/>
      <c r="G138" s="1413"/>
      <c r="H138" s="1413"/>
      <c r="I138" s="1413"/>
      <c r="J138" s="1413"/>
      <c r="K138" s="1413"/>
      <c r="L138" s="1413"/>
      <c r="M138" s="1413"/>
      <c r="N138" s="1413"/>
      <c r="O138" s="1413"/>
      <c r="P138" s="1413"/>
      <c r="Q138" s="1414"/>
      <c r="R138" s="1405"/>
      <c r="S138" s="1405"/>
    </row>
    <row r="139" spans="1:31" ht="12" customHeight="1">
      <c r="A139" s="1398"/>
      <c r="B139" s="1399"/>
      <c r="C139" s="1399"/>
      <c r="D139" s="1399"/>
      <c r="E139" s="1399"/>
      <c r="F139" s="1399"/>
      <c r="G139" s="1399"/>
      <c r="H139" s="1399"/>
      <c r="I139" s="1399"/>
      <c r="J139" s="1399"/>
      <c r="K139" s="1399"/>
      <c r="L139" s="1399"/>
      <c r="M139" s="1399"/>
      <c r="N139" s="1399"/>
      <c r="O139" s="1399"/>
      <c r="P139" s="1399"/>
      <c r="Q139" s="1400"/>
      <c r="R139" s="1405"/>
      <c r="S139" s="1405"/>
    </row>
    <row r="140" spans="1:31" ht="8.4" customHeight="1">
      <c r="A140" s="738"/>
      <c r="B140" s="179"/>
      <c r="C140" s="740"/>
      <c r="D140" s="740"/>
      <c r="E140" s="740"/>
      <c r="F140" s="740"/>
      <c r="G140" s="740"/>
      <c r="H140" s="740"/>
      <c r="I140" s="740"/>
      <c r="J140" s="740"/>
      <c r="K140" s="740"/>
      <c r="L140" s="740"/>
      <c r="M140" s="740"/>
      <c r="N140" s="740"/>
      <c r="O140" s="740"/>
      <c r="P140" s="740"/>
      <c r="Q140" s="738"/>
    </row>
    <row r="141" spans="1:31" ht="13.95" customHeight="1">
      <c r="A141" s="742">
        <v>7</v>
      </c>
      <c r="B141" s="742" t="s">
        <v>1600</v>
      </c>
      <c r="C141" s="742"/>
      <c r="D141" s="740"/>
      <c r="E141" s="740"/>
      <c r="F141" s="740"/>
      <c r="G141" s="740"/>
      <c r="H141" s="740"/>
      <c r="I141" s="740"/>
      <c r="J141" s="740"/>
      <c r="K141" s="740"/>
      <c r="O141" s="180" t="s">
        <v>2923</v>
      </c>
      <c r="P141" s="1386"/>
      <c r="Q141" s="1387"/>
    </row>
    <row r="142" spans="1:31" ht="10.95" customHeight="1">
      <c r="B142" s="57" t="s">
        <v>3060</v>
      </c>
      <c r="C142" s="65" t="s">
        <v>3120</v>
      </c>
      <c r="D142" s="65"/>
      <c r="E142" s="65"/>
      <c r="F142" s="65"/>
      <c r="G142" s="65"/>
      <c r="H142" s="65"/>
      <c r="N142" s="65"/>
      <c r="O142" s="62" t="s">
        <v>3060</v>
      </c>
      <c r="P142" s="795" t="s">
        <v>3963</v>
      </c>
      <c r="Q142" s="234"/>
    </row>
    <row r="143" spans="1:31" ht="12" customHeight="1">
      <c r="A143" s="189"/>
      <c r="B143" s="57" t="s">
        <v>3063</v>
      </c>
      <c r="C143" s="190" t="s">
        <v>204</v>
      </c>
      <c r="D143" s="190"/>
      <c r="E143" s="190"/>
      <c r="F143" s="190"/>
      <c r="G143" s="190"/>
      <c r="H143" s="190"/>
      <c r="M143" s="62" t="s">
        <v>3063</v>
      </c>
      <c r="N143" s="1494" t="s">
        <v>3986</v>
      </c>
      <c r="O143" s="1433"/>
      <c r="P143" s="1442"/>
      <c r="Q143" s="1443"/>
    </row>
    <row r="144" spans="1:31" ht="12" customHeight="1">
      <c r="A144" s="189"/>
      <c r="B144" s="57" t="s">
        <v>1238</v>
      </c>
      <c r="C144" s="190" t="s">
        <v>1032</v>
      </c>
      <c r="D144" s="190"/>
      <c r="E144" s="190"/>
      <c r="F144" s="190"/>
      <c r="G144" s="190"/>
      <c r="H144" s="190"/>
      <c r="J144" s="62" t="s">
        <v>1238</v>
      </c>
      <c r="K144" s="1491" t="s">
        <v>3987</v>
      </c>
      <c r="L144" s="1492"/>
      <c r="M144" s="1492"/>
      <c r="N144" s="1492"/>
      <c r="O144" s="1493"/>
      <c r="P144" s="795" t="s">
        <v>3963</v>
      </c>
      <c r="Q144" s="234"/>
    </row>
    <row r="145" spans="1:31" ht="12" customHeight="1">
      <c r="B145" s="191" t="s">
        <v>2921</v>
      </c>
      <c r="D145" s="191"/>
      <c r="E145" s="191"/>
      <c r="F145" s="191"/>
      <c r="G145" s="191"/>
      <c r="H145" s="50"/>
      <c r="I145" s="179"/>
      <c r="J145" s="179"/>
      <c r="K145" s="179"/>
      <c r="L145" s="738"/>
      <c r="M145" s="738"/>
      <c r="N145" s="738"/>
      <c r="O145" s="738"/>
      <c r="P145" s="738"/>
      <c r="Q145" s="63"/>
    </row>
    <row r="146" spans="1:31" ht="11.4" customHeight="1">
      <c r="A146" s="1389"/>
      <c r="B146" s="1390"/>
      <c r="C146" s="1390"/>
      <c r="D146" s="1390"/>
      <c r="E146" s="1390"/>
      <c r="F146" s="1390"/>
      <c r="G146" s="1390"/>
      <c r="H146" s="1390"/>
      <c r="I146" s="1390"/>
      <c r="J146" s="1390"/>
      <c r="K146" s="1390"/>
      <c r="L146" s="1390"/>
      <c r="M146" s="1390"/>
      <c r="N146" s="1390"/>
      <c r="O146" s="1390"/>
      <c r="P146" s="1390"/>
      <c r="Q146" s="1391"/>
      <c r="U146" s="185"/>
      <c r="V146" s="185"/>
      <c r="W146" s="185"/>
      <c r="X146" s="185"/>
      <c r="Y146" s="185"/>
      <c r="Z146" s="185"/>
      <c r="AA146" s="185"/>
      <c r="AB146" s="185"/>
      <c r="AC146" s="185"/>
      <c r="AD146" s="185"/>
      <c r="AE146" s="186"/>
    </row>
    <row r="147" spans="1:31" ht="11.4" customHeight="1">
      <c r="A147" s="1383"/>
      <c r="B147" s="1384"/>
      <c r="C147" s="1384"/>
      <c r="D147" s="1384"/>
      <c r="E147" s="1384"/>
      <c r="F147" s="1384"/>
      <c r="G147" s="1384"/>
      <c r="H147" s="1384"/>
      <c r="I147" s="1384"/>
      <c r="J147" s="1384"/>
      <c r="K147" s="1384"/>
      <c r="L147" s="1384"/>
      <c r="M147" s="1384"/>
      <c r="N147" s="1384"/>
      <c r="O147" s="1384"/>
      <c r="P147" s="1384"/>
      <c r="Q147" s="1385"/>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 customHeight="1">
      <c r="A149" s="1380"/>
      <c r="B149" s="1381"/>
      <c r="C149" s="1381"/>
      <c r="D149" s="1381"/>
      <c r="E149" s="1381"/>
      <c r="F149" s="1381"/>
      <c r="G149" s="1381"/>
      <c r="H149" s="1381"/>
      <c r="I149" s="1381"/>
      <c r="J149" s="1381"/>
      <c r="K149" s="1381"/>
      <c r="L149" s="1381"/>
      <c r="M149" s="1381"/>
      <c r="N149" s="1381"/>
      <c r="O149" s="1381"/>
      <c r="P149" s="1381"/>
      <c r="Q149" s="1382"/>
    </row>
    <row r="150" spans="1:31" ht="11.4" customHeight="1">
      <c r="A150" s="1398"/>
      <c r="B150" s="1399"/>
      <c r="C150" s="1399"/>
      <c r="D150" s="1399"/>
      <c r="E150" s="1399"/>
      <c r="F150" s="1399"/>
      <c r="G150" s="1399"/>
      <c r="H150" s="1399"/>
      <c r="I150" s="1399"/>
      <c r="J150" s="1399"/>
      <c r="K150" s="1399"/>
      <c r="L150" s="1399"/>
      <c r="M150" s="1399"/>
      <c r="N150" s="1399"/>
      <c r="O150" s="1399"/>
      <c r="P150" s="1399"/>
      <c r="Q150" s="1400"/>
    </row>
    <row r="151" spans="1:31" ht="3" customHeight="1">
      <c r="A151" s="738"/>
      <c r="B151" s="179"/>
      <c r="C151" s="740"/>
      <c r="D151" s="740"/>
      <c r="E151" s="740"/>
      <c r="F151" s="740"/>
      <c r="G151" s="740"/>
      <c r="H151" s="740"/>
      <c r="I151" s="740"/>
      <c r="J151" s="740"/>
      <c r="K151" s="740"/>
      <c r="L151" s="740"/>
      <c r="M151" s="740"/>
      <c r="Q151" s="738"/>
    </row>
    <row r="152" spans="1:31" ht="13.95" customHeight="1">
      <c r="A152" s="742">
        <v>8</v>
      </c>
      <c r="B152" s="742" t="s">
        <v>682</v>
      </c>
      <c r="C152" s="742"/>
      <c r="D152" s="740"/>
      <c r="E152" s="740"/>
      <c r="F152" s="740"/>
      <c r="G152" s="740"/>
      <c r="H152" s="740"/>
      <c r="I152" s="740"/>
      <c r="J152" s="740"/>
      <c r="K152" s="740"/>
      <c r="L152" s="740"/>
      <c r="M152" s="740"/>
      <c r="O152" s="180" t="s">
        <v>2923</v>
      </c>
      <c r="P152" s="1386"/>
      <c r="Q152" s="1387"/>
    </row>
    <row r="153" spans="1:31" ht="12" customHeight="1">
      <c r="B153" s="192" t="s">
        <v>3060</v>
      </c>
      <c r="C153" s="190" t="s">
        <v>109</v>
      </c>
      <c r="D153" s="190"/>
      <c r="E153" s="190"/>
      <c r="F153" s="190"/>
      <c r="G153" s="190"/>
      <c r="H153" s="190"/>
      <c r="I153" s="190"/>
      <c r="J153" s="190"/>
      <c r="K153" s="190"/>
      <c r="L153" s="197"/>
      <c r="M153" s="197"/>
      <c r="N153" s="197"/>
      <c r="O153" s="221" t="s">
        <v>3060</v>
      </c>
      <c r="P153" s="795" t="s">
        <v>3963</v>
      </c>
      <c r="Q153" s="234"/>
    </row>
    <row r="154" spans="1:31" ht="22.2" customHeight="1">
      <c r="B154" s="192" t="s">
        <v>3063</v>
      </c>
      <c r="C154" s="1388" t="s">
        <v>3791</v>
      </c>
      <c r="D154" s="1388"/>
      <c r="E154" s="1388"/>
      <c r="F154" s="1388"/>
      <c r="G154" s="1388"/>
      <c r="H154" s="1388"/>
      <c r="I154" s="1388"/>
      <c r="J154" s="1388"/>
      <c r="K154" s="1388"/>
      <c r="L154" s="1388"/>
      <c r="M154" s="1388"/>
      <c r="N154" s="1388"/>
      <c r="O154" s="221" t="s">
        <v>3063</v>
      </c>
      <c r="P154" s="795"/>
      <c r="Q154" s="234"/>
    </row>
    <row r="155" spans="1:31" ht="12" customHeight="1">
      <c r="B155" s="191" t="s">
        <v>2921</v>
      </c>
      <c r="D155" s="191"/>
      <c r="E155" s="191"/>
      <c r="F155" s="191"/>
      <c r="G155" s="191"/>
      <c r="H155" s="50"/>
      <c r="I155" s="179"/>
      <c r="J155" s="179"/>
      <c r="K155" s="179"/>
      <c r="L155" s="738"/>
      <c r="M155" s="738"/>
      <c r="N155" s="738"/>
      <c r="O155" s="738"/>
      <c r="P155" s="738"/>
      <c r="Q155" s="63"/>
    </row>
    <row r="156" spans="1:31" ht="11.4" customHeight="1">
      <c r="A156" s="1389"/>
      <c r="B156" s="1390"/>
      <c r="C156" s="1390"/>
      <c r="D156" s="1390"/>
      <c r="E156" s="1390"/>
      <c r="F156" s="1390"/>
      <c r="G156" s="1390"/>
      <c r="H156" s="1390"/>
      <c r="I156" s="1390"/>
      <c r="J156" s="1390"/>
      <c r="K156" s="1390"/>
      <c r="L156" s="1390"/>
      <c r="M156" s="1390"/>
      <c r="N156" s="1390"/>
      <c r="O156" s="1390"/>
      <c r="P156" s="1390"/>
      <c r="Q156" s="1391"/>
      <c r="U156" s="185"/>
      <c r="V156" s="185"/>
      <c r="W156" s="185"/>
      <c r="X156" s="185"/>
      <c r="Y156" s="185"/>
      <c r="Z156" s="185"/>
      <c r="AA156" s="185"/>
      <c r="AB156" s="185"/>
      <c r="AC156" s="185"/>
      <c r="AD156" s="185"/>
      <c r="AE156" s="186"/>
    </row>
    <row r="157" spans="1:31" ht="11.4" customHeight="1">
      <c r="A157" s="1383"/>
      <c r="B157" s="1384"/>
      <c r="C157" s="1384"/>
      <c r="D157" s="1384"/>
      <c r="E157" s="1384"/>
      <c r="F157" s="1384"/>
      <c r="G157" s="1384"/>
      <c r="H157" s="1384"/>
      <c r="I157" s="1384"/>
      <c r="J157" s="1384"/>
      <c r="K157" s="1384"/>
      <c r="L157" s="1384"/>
      <c r="M157" s="1384"/>
      <c r="N157" s="1384"/>
      <c r="O157" s="1384"/>
      <c r="P157" s="1384"/>
      <c r="Q157" s="1385"/>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 customHeight="1">
      <c r="A159" s="1380"/>
      <c r="B159" s="1381"/>
      <c r="C159" s="1381"/>
      <c r="D159" s="1381"/>
      <c r="E159" s="1381"/>
      <c r="F159" s="1381"/>
      <c r="G159" s="1381"/>
      <c r="H159" s="1381"/>
      <c r="I159" s="1381"/>
      <c r="J159" s="1381"/>
      <c r="K159" s="1381"/>
      <c r="L159" s="1381"/>
      <c r="M159" s="1381"/>
      <c r="N159" s="1381"/>
      <c r="O159" s="1381"/>
      <c r="P159" s="1381"/>
      <c r="Q159" s="1382"/>
    </row>
    <row r="160" spans="1:31" ht="11.4" customHeight="1">
      <c r="A160" s="1398"/>
      <c r="B160" s="1399"/>
      <c r="C160" s="1399"/>
      <c r="D160" s="1399"/>
      <c r="E160" s="1399"/>
      <c r="F160" s="1399"/>
      <c r="G160" s="1399"/>
      <c r="H160" s="1399"/>
      <c r="I160" s="1399"/>
      <c r="J160" s="1399"/>
      <c r="K160" s="1399"/>
      <c r="L160" s="1399"/>
      <c r="M160" s="1399"/>
      <c r="N160" s="1399"/>
      <c r="O160" s="1399"/>
      <c r="P160" s="1399"/>
      <c r="Q160" s="1400"/>
    </row>
    <row r="161" spans="1:31" ht="3" customHeight="1">
      <c r="B161" s="179"/>
      <c r="C161" s="740"/>
      <c r="D161" s="740"/>
      <c r="E161" s="740"/>
      <c r="F161" s="740"/>
      <c r="G161" s="740"/>
      <c r="H161" s="740"/>
      <c r="I161" s="740"/>
      <c r="J161" s="740"/>
      <c r="K161" s="740"/>
      <c r="L161" s="740"/>
      <c r="M161" s="740"/>
      <c r="N161" s="740"/>
      <c r="O161" s="740"/>
      <c r="P161" s="740"/>
      <c r="Q161" s="738"/>
    </row>
    <row r="162" spans="1:31" ht="13.95" customHeight="1">
      <c r="A162" s="198">
        <v>9</v>
      </c>
      <c r="B162" s="1437" t="s">
        <v>332</v>
      </c>
      <c r="C162" s="1437"/>
      <c r="D162" s="1437"/>
      <c r="O162" s="180" t="s">
        <v>2923</v>
      </c>
      <c r="P162" s="1386"/>
      <c r="Q162" s="1387"/>
    </row>
    <row r="163" spans="1:31" ht="12" customHeight="1">
      <c r="B163" s="192" t="s">
        <v>3060</v>
      </c>
      <c r="C163" s="197" t="s">
        <v>696</v>
      </c>
      <c r="D163" s="197"/>
      <c r="E163" s="197"/>
      <c r="F163" s="197"/>
      <c r="G163" s="197"/>
      <c r="H163" s="197"/>
      <c r="I163" s="197"/>
      <c r="J163" s="197"/>
      <c r="K163" s="197"/>
      <c r="L163" s="197"/>
      <c r="M163" s="197"/>
      <c r="O163" s="221" t="s">
        <v>3060</v>
      </c>
      <c r="P163" s="795" t="s">
        <v>3963</v>
      </c>
      <c r="Q163" s="234"/>
    </row>
    <row r="164" spans="1:31" ht="12" customHeight="1">
      <c r="B164" s="192" t="s">
        <v>3063</v>
      </c>
      <c r="C164" s="190" t="s">
        <v>721</v>
      </c>
      <c r="D164" s="190"/>
      <c r="E164" s="190"/>
      <c r="F164" s="190"/>
      <c r="G164" s="190"/>
      <c r="H164" s="190"/>
      <c r="I164" s="190"/>
      <c r="J164" s="190"/>
      <c r="K164" s="190"/>
      <c r="L164" s="190"/>
      <c r="M164" s="190"/>
      <c r="O164" s="221" t="s">
        <v>3063</v>
      </c>
      <c r="P164" s="795" t="s">
        <v>3963</v>
      </c>
      <c r="Q164" s="234"/>
    </row>
    <row r="165" spans="1:31" ht="12" customHeight="1">
      <c r="B165" s="192" t="s">
        <v>1238</v>
      </c>
      <c r="C165" s="197" t="s">
        <v>928</v>
      </c>
      <c r="D165" s="197"/>
      <c r="E165" s="197"/>
      <c r="F165" s="197"/>
      <c r="G165" s="197"/>
      <c r="H165" s="197"/>
      <c r="I165" s="197"/>
      <c r="J165" s="197"/>
      <c r="K165" s="197"/>
      <c r="L165" s="197"/>
      <c r="M165" s="197"/>
      <c r="O165" s="221" t="s">
        <v>1238</v>
      </c>
      <c r="P165" s="795" t="s">
        <v>3963</v>
      </c>
      <c r="Q165" s="234"/>
    </row>
    <row r="166" spans="1:31" ht="12" customHeight="1">
      <c r="B166" s="192" t="s">
        <v>3212</v>
      </c>
      <c r="C166" s="197" t="s">
        <v>929</v>
      </c>
      <c r="D166" s="197"/>
      <c r="E166" s="197"/>
      <c r="F166" s="197"/>
      <c r="G166" s="197"/>
      <c r="H166" s="197"/>
      <c r="I166" s="197"/>
      <c r="J166" s="197"/>
      <c r="K166" s="197"/>
      <c r="L166" s="197"/>
      <c r="M166" s="197"/>
      <c r="O166" s="221" t="s">
        <v>3212</v>
      </c>
      <c r="P166" s="795" t="s">
        <v>3963</v>
      </c>
      <c r="Q166" s="234"/>
    </row>
    <row r="167" spans="1:31" ht="12" customHeight="1">
      <c r="B167" s="192" t="s">
        <v>2762</v>
      </c>
      <c r="C167" s="197" t="s">
        <v>3594</v>
      </c>
      <c r="D167" s="197"/>
      <c r="E167" s="197"/>
      <c r="F167" s="197"/>
      <c r="G167" s="197"/>
      <c r="H167" s="197"/>
      <c r="I167" s="197"/>
      <c r="J167" s="197"/>
      <c r="K167" s="197"/>
      <c r="L167" s="197"/>
      <c r="M167" s="197"/>
      <c r="O167" s="221" t="s">
        <v>2762</v>
      </c>
      <c r="P167" s="795" t="s">
        <v>3963</v>
      </c>
      <c r="Q167" s="234"/>
    </row>
    <row r="168" spans="1:31" ht="12" customHeight="1">
      <c r="B168" s="191" t="s">
        <v>2921</v>
      </c>
      <c r="D168" s="191"/>
      <c r="E168" s="191"/>
      <c r="F168" s="191"/>
      <c r="G168" s="191"/>
      <c r="H168" s="50"/>
      <c r="I168" s="179"/>
      <c r="J168" s="179"/>
      <c r="K168" s="179"/>
      <c r="L168" s="738"/>
      <c r="M168" s="738"/>
      <c r="N168" s="738"/>
      <c r="O168" s="738"/>
      <c r="P168" s="738"/>
      <c r="Q168" s="63"/>
    </row>
    <row r="169" spans="1:31" ht="11.4" customHeight="1">
      <c r="A169" s="1389"/>
      <c r="B169" s="1390"/>
      <c r="C169" s="1390"/>
      <c r="D169" s="1390"/>
      <c r="E169" s="1390"/>
      <c r="F169" s="1390"/>
      <c r="G169" s="1390"/>
      <c r="H169" s="1390"/>
      <c r="I169" s="1390"/>
      <c r="J169" s="1390"/>
      <c r="K169" s="1390"/>
      <c r="L169" s="1390"/>
      <c r="M169" s="1390"/>
      <c r="N169" s="1390"/>
      <c r="O169" s="1390"/>
      <c r="P169" s="1390"/>
      <c r="Q169" s="1391"/>
      <c r="U169" s="185"/>
      <c r="V169" s="185"/>
      <c r="W169" s="185"/>
      <c r="X169" s="185"/>
      <c r="Y169" s="185"/>
      <c r="Z169" s="185"/>
      <c r="AA169" s="185"/>
      <c r="AB169" s="185"/>
      <c r="AC169" s="185"/>
      <c r="AD169" s="185"/>
      <c r="AE169" s="186"/>
    </row>
    <row r="170" spans="1:31" ht="11.4" customHeight="1">
      <c r="A170" s="1383"/>
      <c r="B170" s="1384"/>
      <c r="C170" s="1384"/>
      <c r="D170" s="1384"/>
      <c r="E170" s="1384"/>
      <c r="F170" s="1384"/>
      <c r="G170" s="1384"/>
      <c r="H170" s="1384"/>
      <c r="I170" s="1384"/>
      <c r="J170" s="1384"/>
      <c r="K170" s="1384"/>
      <c r="L170" s="1384"/>
      <c r="M170" s="1384"/>
      <c r="N170" s="1384"/>
      <c r="O170" s="1384"/>
      <c r="P170" s="1384"/>
      <c r="Q170" s="1385"/>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 customHeight="1">
      <c r="A172" s="1380"/>
      <c r="B172" s="1381"/>
      <c r="C172" s="1381"/>
      <c r="D172" s="1381"/>
      <c r="E172" s="1381"/>
      <c r="F172" s="1381"/>
      <c r="G172" s="1381"/>
      <c r="H172" s="1381"/>
      <c r="I172" s="1381"/>
      <c r="J172" s="1381"/>
      <c r="K172" s="1381"/>
      <c r="L172" s="1381"/>
      <c r="M172" s="1381"/>
      <c r="N172" s="1381"/>
      <c r="O172" s="1381"/>
      <c r="P172" s="1381"/>
      <c r="Q172" s="1382"/>
    </row>
    <row r="173" spans="1:31" ht="11.4" customHeight="1">
      <c r="A173" s="1398"/>
      <c r="B173" s="1399"/>
      <c r="C173" s="1399"/>
      <c r="D173" s="1399"/>
      <c r="E173" s="1399"/>
      <c r="F173" s="1399"/>
      <c r="G173" s="1399"/>
      <c r="H173" s="1399"/>
      <c r="I173" s="1399"/>
      <c r="J173" s="1399"/>
      <c r="K173" s="1399"/>
      <c r="L173" s="1399"/>
      <c r="M173" s="1399"/>
      <c r="N173" s="1399"/>
      <c r="O173" s="1399"/>
      <c r="P173" s="1399"/>
      <c r="Q173" s="1400"/>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5" customHeight="1">
      <c r="A175" s="742">
        <v>10</v>
      </c>
      <c r="B175" s="742" t="s">
        <v>348</v>
      </c>
      <c r="C175" s="742"/>
      <c r="D175" s="740"/>
      <c r="E175" s="199"/>
      <c r="F175" s="199"/>
      <c r="G175" s="740"/>
      <c r="J175" s="1473"/>
      <c r="K175" s="1473"/>
      <c r="L175" s="1473"/>
      <c r="M175" s="1473"/>
      <c r="N175" s="1473"/>
      <c r="O175" s="180" t="s">
        <v>2923</v>
      </c>
      <c r="P175" s="1386"/>
      <c r="Q175" s="1387"/>
    </row>
    <row r="176" spans="1:31" ht="12" customHeight="1">
      <c r="A176" s="189"/>
      <c r="B176" s="57" t="s">
        <v>3060</v>
      </c>
      <c r="C176" s="1388" t="s">
        <v>110</v>
      </c>
      <c r="D176" s="1388"/>
      <c r="E176" s="1388"/>
      <c r="F176" s="1388"/>
      <c r="G176" s="1388"/>
      <c r="H176" s="83" t="s">
        <v>2764</v>
      </c>
      <c r="I176" s="65" t="s">
        <v>206</v>
      </c>
      <c r="J176" s="1392" t="s">
        <v>2890</v>
      </c>
      <c r="K176" s="1393"/>
      <c r="L176" s="1393"/>
      <c r="M176" s="1393"/>
      <c r="N176" s="1394"/>
      <c r="O176" s="83" t="s">
        <v>2764</v>
      </c>
      <c r="P176" s="795" t="s">
        <v>3965</v>
      </c>
      <c r="Q176" s="234"/>
    </row>
    <row r="177" spans="1:31" ht="12" customHeight="1">
      <c r="A177" s="189"/>
      <c r="B177" s="179"/>
      <c r="C177" s="141"/>
      <c r="D177" s="141"/>
      <c r="E177" s="141"/>
      <c r="F177" s="141"/>
      <c r="H177" s="83" t="s">
        <v>2765</v>
      </c>
      <c r="I177" s="65" t="s">
        <v>2357</v>
      </c>
      <c r="J177" s="1392" t="s">
        <v>3988</v>
      </c>
      <c r="K177" s="1393"/>
      <c r="L177" s="1393"/>
      <c r="M177" s="1393"/>
      <c r="N177" s="1394"/>
      <c r="O177" s="83" t="s">
        <v>2765</v>
      </c>
      <c r="P177" s="795" t="s">
        <v>3963</v>
      </c>
      <c r="Q177" s="234"/>
    </row>
    <row r="178" spans="1:31" ht="12" customHeight="1">
      <c r="B178" s="191" t="s">
        <v>2921</v>
      </c>
      <c r="D178" s="191"/>
      <c r="E178" s="191"/>
      <c r="F178" s="191"/>
      <c r="G178" s="191"/>
      <c r="J178" s="179"/>
      <c r="K178" s="179"/>
      <c r="L178" s="738"/>
      <c r="M178" s="738"/>
      <c r="N178" s="738"/>
      <c r="O178" s="738"/>
      <c r="P178" s="738"/>
      <c r="Q178" s="63"/>
    </row>
    <row r="179" spans="1:31" ht="11.4" customHeight="1">
      <c r="A179" s="1395"/>
      <c r="B179" s="1396"/>
      <c r="C179" s="1396"/>
      <c r="D179" s="1396"/>
      <c r="E179" s="1396"/>
      <c r="F179" s="1396"/>
      <c r="G179" s="1396"/>
      <c r="H179" s="1396"/>
      <c r="I179" s="1396"/>
      <c r="J179" s="1396"/>
      <c r="K179" s="1396"/>
      <c r="L179" s="1396"/>
      <c r="M179" s="1396"/>
      <c r="N179" s="1396"/>
      <c r="O179" s="1396"/>
      <c r="P179" s="1396"/>
      <c r="Q179" s="1397"/>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 customHeight="1">
      <c r="A181" s="1438"/>
      <c r="B181" s="1439"/>
      <c r="C181" s="1439"/>
      <c r="D181" s="1439"/>
      <c r="E181" s="1439"/>
      <c r="F181" s="1439"/>
      <c r="G181" s="1439"/>
      <c r="H181" s="1439"/>
      <c r="I181" s="1439"/>
      <c r="J181" s="1439"/>
      <c r="K181" s="1439"/>
      <c r="L181" s="1439"/>
      <c r="M181" s="1439"/>
      <c r="N181" s="1439"/>
      <c r="O181" s="1439"/>
      <c r="P181" s="1439"/>
      <c r="Q181" s="1440"/>
    </row>
    <row r="182" spans="1:31" ht="4.2" customHeight="1">
      <c r="B182" s="179"/>
      <c r="C182" s="740"/>
      <c r="D182" s="740"/>
      <c r="E182" s="740"/>
      <c r="F182" s="740"/>
      <c r="G182" s="740"/>
      <c r="H182" s="740"/>
      <c r="I182" s="740"/>
      <c r="J182" s="740"/>
      <c r="K182" s="740"/>
      <c r="L182" s="740"/>
      <c r="M182" s="740"/>
      <c r="Q182" s="63"/>
    </row>
    <row r="183" spans="1:31" ht="13.95" customHeight="1">
      <c r="A183" s="742">
        <v>11</v>
      </c>
      <c r="B183" s="5" t="s">
        <v>3702</v>
      </c>
      <c r="C183" s="5"/>
      <c r="D183" s="118"/>
      <c r="E183" s="118"/>
      <c r="F183" s="118"/>
      <c r="G183" s="740"/>
      <c r="H183" s="740"/>
      <c r="I183" s="740"/>
      <c r="J183" s="740"/>
      <c r="K183" s="740"/>
      <c r="L183" s="740"/>
      <c r="M183" s="740"/>
      <c r="O183" s="180" t="s">
        <v>2923</v>
      </c>
      <c r="P183" s="1386"/>
      <c r="Q183" s="1387"/>
    </row>
    <row r="184" spans="1:31" ht="4.2" customHeight="1"/>
    <row r="185" spans="1:31" ht="11.4" customHeight="1">
      <c r="B185" s="192" t="s">
        <v>3060</v>
      </c>
      <c r="C185" s="667" t="s">
        <v>2764</v>
      </c>
      <c r="D185" s="666" t="s">
        <v>801</v>
      </c>
      <c r="E185" s="666"/>
      <c r="F185" s="666"/>
      <c r="G185" s="666"/>
      <c r="H185" s="666"/>
      <c r="I185" s="666"/>
      <c r="J185" s="666"/>
      <c r="K185" s="666"/>
      <c r="L185" s="666"/>
      <c r="M185" s="666"/>
      <c r="N185" s="666"/>
      <c r="O185" s="221" t="s">
        <v>2230</v>
      </c>
      <c r="P185" s="795" t="s">
        <v>3965</v>
      </c>
      <c r="Q185" s="234"/>
    </row>
    <row r="186" spans="1:31" ht="11.4" customHeight="1">
      <c r="B186" s="192"/>
      <c r="C186" s="667" t="s">
        <v>2765</v>
      </c>
      <c r="D186" s="666" t="s">
        <v>2200</v>
      </c>
      <c r="E186" s="666"/>
      <c r="F186" s="666"/>
      <c r="G186" s="666"/>
      <c r="H186" s="666"/>
      <c r="I186" s="666"/>
      <c r="J186" s="666"/>
      <c r="K186" s="666"/>
      <c r="L186" s="666"/>
      <c r="M186" s="666"/>
      <c r="N186" s="666"/>
      <c r="O186" s="221" t="s">
        <v>2765</v>
      </c>
      <c r="P186" s="795"/>
      <c r="Q186" s="234"/>
    </row>
    <row r="187" spans="1:31" ht="11.4" customHeight="1">
      <c r="A187" s="189"/>
      <c r="B187" s="192" t="s">
        <v>3063</v>
      </c>
      <c r="C187" s="1388" t="s">
        <v>2903</v>
      </c>
      <c r="D187" s="1388"/>
      <c r="E187" s="1388"/>
      <c r="F187" s="1388"/>
      <c r="G187" s="1388"/>
      <c r="H187" s="83" t="s">
        <v>2764</v>
      </c>
      <c r="I187" s="65" t="s">
        <v>971</v>
      </c>
      <c r="J187" s="1392" t="s">
        <v>3988</v>
      </c>
      <c r="K187" s="1393"/>
      <c r="L187" s="1393"/>
      <c r="M187" s="1393"/>
      <c r="N187" s="1394"/>
      <c r="O187" s="83" t="s">
        <v>2170</v>
      </c>
      <c r="P187" s="795" t="s">
        <v>3963</v>
      </c>
      <c r="Q187" s="234"/>
    </row>
    <row r="188" spans="1:31" ht="11.4" customHeight="1">
      <c r="A188" s="189"/>
      <c r="B188" s="746"/>
      <c r="C188" s="1388"/>
      <c r="D188" s="1388"/>
      <c r="E188" s="1388"/>
      <c r="F188" s="1388"/>
      <c r="G188" s="1388"/>
      <c r="H188" s="83" t="s">
        <v>2765</v>
      </c>
      <c r="I188" s="65" t="s">
        <v>131</v>
      </c>
      <c r="J188" s="1392" t="s">
        <v>3988</v>
      </c>
      <c r="K188" s="1393"/>
      <c r="L188" s="1393"/>
      <c r="M188" s="1393"/>
      <c r="N188" s="1394"/>
      <c r="O188" s="83" t="s">
        <v>2765</v>
      </c>
      <c r="P188" s="795" t="s">
        <v>3963</v>
      </c>
      <c r="Q188" s="234"/>
    </row>
    <row r="189" spans="1:31" ht="11.25" customHeight="1">
      <c r="B189" s="191" t="s">
        <v>2921</v>
      </c>
      <c r="D189" s="191"/>
      <c r="E189" s="191"/>
      <c r="F189" s="191"/>
      <c r="G189" s="191"/>
      <c r="H189" s="50"/>
      <c r="I189" s="179"/>
      <c r="J189" s="179"/>
      <c r="K189" s="179"/>
      <c r="L189" s="738"/>
      <c r="M189" s="738"/>
      <c r="N189" s="738"/>
      <c r="O189" s="738"/>
      <c r="P189" s="738"/>
      <c r="Q189" s="63"/>
    </row>
    <row r="190" spans="1:31" ht="11.4" customHeight="1">
      <c r="A190" s="1395"/>
      <c r="B190" s="1396"/>
      <c r="C190" s="1396"/>
      <c r="D190" s="1396"/>
      <c r="E190" s="1396"/>
      <c r="F190" s="1396"/>
      <c r="G190" s="1396"/>
      <c r="H190" s="1396"/>
      <c r="I190" s="1396"/>
      <c r="J190" s="1396"/>
      <c r="K190" s="1396"/>
      <c r="L190" s="1396"/>
      <c r="M190" s="1396"/>
      <c r="N190" s="1396"/>
      <c r="O190" s="1396"/>
      <c r="P190" s="1396"/>
      <c r="Q190" s="1397"/>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 customHeight="1">
      <c r="A192" s="1438"/>
      <c r="B192" s="1439"/>
      <c r="C192" s="1439"/>
      <c r="D192" s="1439"/>
      <c r="E192" s="1439"/>
      <c r="F192" s="1439"/>
      <c r="G192" s="1439"/>
      <c r="H192" s="1439"/>
      <c r="I192" s="1439"/>
      <c r="J192" s="1439"/>
      <c r="K192" s="1439"/>
      <c r="L192" s="1439"/>
      <c r="M192" s="1439"/>
      <c r="N192" s="1439"/>
      <c r="O192" s="1439"/>
      <c r="P192" s="1439"/>
      <c r="Q192" s="1440"/>
    </row>
    <row r="193" spans="1:31" ht="3" customHeight="1">
      <c r="A193" s="738"/>
      <c r="B193" s="179"/>
      <c r="C193" s="740"/>
      <c r="D193" s="740"/>
      <c r="E193" s="740"/>
      <c r="F193" s="740"/>
      <c r="G193" s="740"/>
      <c r="H193" s="740"/>
      <c r="I193" s="740"/>
      <c r="J193" s="740"/>
      <c r="K193" s="740"/>
      <c r="L193" s="740"/>
      <c r="M193" s="740"/>
      <c r="Q193" s="738"/>
    </row>
    <row r="194" spans="1:31" ht="13.95" customHeight="1">
      <c r="A194" s="742">
        <v>12</v>
      </c>
      <c r="B194" s="5" t="s">
        <v>192</v>
      </c>
      <c r="C194" s="5"/>
      <c r="D194" s="118"/>
      <c r="E194" s="118"/>
      <c r="F194" s="118"/>
      <c r="G194" s="118"/>
      <c r="H194" s="740"/>
      <c r="I194" s="740"/>
      <c r="J194" s="740"/>
      <c r="K194" s="740"/>
      <c r="L194" s="740"/>
      <c r="M194" s="740"/>
      <c r="O194" s="180" t="s">
        <v>2923</v>
      </c>
      <c r="P194" s="1386"/>
      <c r="Q194" s="1387"/>
    </row>
    <row r="195" spans="1:31" ht="10.95" customHeight="1">
      <c r="B195" s="195" t="s">
        <v>193</v>
      </c>
    </row>
    <row r="196" spans="1:31" ht="11.4" customHeight="1">
      <c r="B196" s="57" t="s">
        <v>3060</v>
      </c>
      <c r="C196" s="65" t="s">
        <v>197</v>
      </c>
      <c r="D196" s="52"/>
      <c r="E196" s="65"/>
      <c r="F196" s="65"/>
      <c r="G196" s="65"/>
      <c r="H196" s="65"/>
      <c r="I196" s="52"/>
      <c r="J196" s="52"/>
      <c r="K196" s="52"/>
      <c r="L196" s="197"/>
      <c r="M196" s="197"/>
      <c r="O196" s="221" t="s">
        <v>3060</v>
      </c>
      <c r="P196" s="795" t="s">
        <v>3963</v>
      </c>
      <c r="Q196" s="234"/>
    </row>
    <row r="197" spans="1:31" ht="11.4" customHeight="1">
      <c r="B197" s="57" t="s">
        <v>3063</v>
      </c>
      <c r="C197" s="65" t="s">
        <v>194</v>
      </c>
      <c r="D197" s="65"/>
      <c r="E197" s="65"/>
      <c r="F197" s="65"/>
      <c r="G197" s="65"/>
      <c r="H197" s="65"/>
      <c r="I197" s="52"/>
      <c r="J197" s="52"/>
      <c r="K197" s="52"/>
      <c r="L197" s="190"/>
      <c r="M197" s="190"/>
      <c r="O197" s="221" t="s">
        <v>3063</v>
      </c>
      <c r="P197" s="795" t="s">
        <v>3963</v>
      </c>
      <c r="Q197" s="234"/>
    </row>
    <row r="198" spans="1:31" s="200" customFormat="1" ht="11.4" customHeight="1">
      <c r="B198" s="57" t="s">
        <v>1238</v>
      </c>
      <c r="C198" s="65" t="s">
        <v>195</v>
      </c>
      <c r="D198" s="65"/>
      <c r="E198" s="65"/>
      <c r="F198" s="65"/>
      <c r="G198" s="65"/>
      <c r="H198" s="65"/>
      <c r="I198" s="129"/>
      <c r="J198" s="129"/>
      <c r="K198" s="129"/>
      <c r="L198" s="197"/>
      <c r="M198" s="197"/>
      <c r="N198" s="45"/>
      <c r="O198" s="221" t="s">
        <v>1238</v>
      </c>
      <c r="P198" s="795" t="s">
        <v>3965</v>
      </c>
      <c r="Q198" s="234"/>
    </row>
    <row r="199" spans="1:31" s="200" customFormat="1" ht="11.4" customHeight="1">
      <c r="B199" s="57" t="s">
        <v>3212</v>
      </c>
      <c r="C199" s="65" t="s">
        <v>196</v>
      </c>
      <c r="D199" s="65"/>
      <c r="E199" s="65"/>
      <c r="F199" s="65"/>
      <c r="G199" s="65"/>
      <c r="H199" s="65"/>
      <c r="I199" s="129"/>
      <c r="J199" s="129"/>
      <c r="K199" s="129"/>
      <c r="L199" s="129"/>
      <c r="M199" s="129"/>
      <c r="O199" s="62" t="s">
        <v>3212</v>
      </c>
      <c r="P199" s="795" t="s">
        <v>3965</v>
      </c>
      <c r="Q199" s="234"/>
    </row>
    <row r="200" spans="1:31" ht="11.25" customHeight="1">
      <c r="B200" s="191" t="s">
        <v>2921</v>
      </c>
      <c r="D200" s="191"/>
      <c r="E200" s="191"/>
      <c r="F200" s="191"/>
      <c r="G200" s="191"/>
      <c r="H200" s="50"/>
      <c r="I200" s="179"/>
      <c r="J200" s="179"/>
      <c r="K200" s="179"/>
      <c r="L200" s="738"/>
      <c r="M200" s="738"/>
      <c r="N200" s="738"/>
      <c r="O200" s="738"/>
      <c r="P200" s="738"/>
      <c r="Q200" s="63"/>
    </row>
    <row r="201" spans="1:31" ht="13.2" customHeight="1">
      <c r="A201" s="1389" t="s">
        <v>4027</v>
      </c>
      <c r="B201" s="1390"/>
      <c r="C201" s="1390"/>
      <c r="D201" s="1390"/>
      <c r="E201" s="1390"/>
      <c r="F201" s="1390"/>
      <c r="G201" s="1390"/>
      <c r="H201" s="1390"/>
      <c r="I201" s="1390"/>
      <c r="J201" s="1390"/>
      <c r="K201" s="1390"/>
      <c r="L201" s="1390"/>
      <c r="M201" s="1390"/>
      <c r="N201" s="1390"/>
      <c r="O201" s="1390"/>
      <c r="P201" s="1390"/>
      <c r="Q201" s="1391"/>
      <c r="R201" s="1405" t="s">
        <v>1932</v>
      </c>
      <c r="S201" s="1405"/>
      <c r="U201" s="185"/>
      <c r="V201" s="185"/>
      <c r="W201" s="185"/>
      <c r="X201" s="185"/>
      <c r="Y201" s="185"/>
      <c r="Z201" s="185"/>
      <c r="AA201" s="185"/>
      <c r="AB201" s="185"/>
      <c r="AC201" s="185"/>
      <c r="AD201" s="185"/>
      <c r="AE201" s="186"/>
    </row>
    <row r="202" spans="1:31" ht="13.2" customHeight="1">
      <c r="A202" s="1383" t="s">
        <v>3989</v>
      </c>
      <c r="B202" s="1384"/>
      <c r="C202" s="1384"/>
      <c r="D202" s="1384"/>
      <c r="E202" s="1384"/>
      <c r="F202" s="1384"/>
      <c r="G202" s="1384"/>
      <c r="H202" s="1384"/>
      <c r="I202" s="1384"/>
      <c r="J202" s="1384"/>
      <c r="K202" s="1384"/>
      <c r="L202" s="1384"/>
      <c r="M202" s="1384"/>
      <c r="N202" s="1384"/>
      <c r="O202" s="1384"/>
      <c r="P202" s="1384"/>
      <c r="Q202" s="1385"/>
      <c r="R202" s="1405"/>
      <c r="S202" s="1405"/>
    </row>
    <row r="203" spans="1:31" s="31" customFormat="1" ht="3" customHeight="1">
      <c r="C203" s="134"/>
      <c r="D203" s="134"/>
      <c r="R203" s="1405"/>
      <c r="S203" s="1405"/>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2" customHeight="1">
      <c r="A205" s="1380"/>
      <c r="B205" s="1381"/>
      <c r="C205" s="1381"/>
      <c r="D205" s="1381"/>
      <c r="E205" s="1381"/>
      <c r="F205" s="1381"/>
      <c r="G205" s="1381"/>
      <c r="H205" s="1381"/>
      <c r="I205" s="1381"/>
      <c r="J205" s="1381"/>
      <c r="K205" s="1381"/>
      <c r="L205" s="1381"/>
      <c r="M205" s="1381"/>
      <c r="N205" s="1381"/>
      <c r="O205" s="1381"/>
      <c r="P205" s="1381"/>
      <c r="Q205" s="1382"/>
    </row>
    <row r="206" spans="1:31" ht="13.2" customHeight="1">
      <c r="A206" s="1398"/>
      <c r="B206" s="1399"/>
      <c r="C206" s="1399"/>
      <c r="D206" s="1399"/>
      <c r="E206" s="1399"/>
      <c r="F206" s="1399"/>
      <c r="G206" s="1399"/>
      <c r="H206" s="1399"/>
      <c r="I206" s="1399"/>
      <c r="J206" s="1399"/>
      <c r="K206" s="1399"/>
      <c r="L206" s="1399"/>
      <c r="M206" s="1399"/>
      <c r="N206" s="1399"/>
      <c r="O206" s="1399"/>
      <c r="P206" s="1399"/>
      <c r="Q206" s="1400"/>
    </row>
    <row r="207" spans="1:31" ht="3" customHeight="1">
      <c r="A207" s="738"/>
      <c r="B207" s="179"/>
      <c r="C207" s="740"/>
      <c r="D207" s="740"/>
      <c r="E207" s="740"/>
      <c r="F207" s="740"/>
      <c r="G207" s="740"/>
      <c r="H207" s="740"/>
      <c r="I207" s="740"/>
      <c r="J207" s="740"/>
      <c r="K207" s="740"/>
      <c r="L207" s="740"/>
      <c r="M207" s="740"/>
      <c r="Q207" s="738"/>
    </row>
    <row r="208" spans="1:31" ht="13.95" customHeight="1">
      <c r="A208" s="742">
        <v>13</v>
      </c>
      <c r="B208" s="742" t="s">
        <v>680</v>
      </c>
      <c r="C208" s="153"/>
      <c r="D208" s="740"/>
      <c r="E208" s="740"/>
      <c r="F208" s="740"/>
      <c r="G208" s="740"/>
      <c r="H208" s="740"/>
      <c r="I208" s="740"/>
      <c r="J208" s="740"/>
      <c r="K208" s="740"/>
      <c r="L208" s="740"/>
      <c r="M208" s="740"/>
      <c r="O208" s="180" t="s">
        <v>2923</v>
      </c>
      <c r="P208" s="1386"/>
      <c r="Q208" s="1387"/>
    </row>
    <row r="209" spans="1:19" s="31" customFormat="1" ht="11.4" customHeight="1">
      <c r="B209" s="195" t="s">
        <v>1838</v>
      </c>
      <c r="N209" s="165"/>
      <c r="P209" s="795" t="s">
        <v>3965</v>
      </c>
      <c r="Q209" s="234"/>
    </row>
    <row r="210" spans="1:19" ht="12" customHeight="1">
      <c r="B210" s="57" t="s">
        <v>3060</v>
      </c>
      <c r="C210" s="118" t="s">
        <v>2086</v>
      </c>
      <c r="D210" s="52"/>
      <c r="E210" s="52"/>
      <c r="F210" s="52"/>
      <c r="G210" s="52"/>
      <c r="H210" s="52"/>
      <c r="I210" s="52"/>
      <c r="J210" s="52"/>
      <c r="K210" s="52"/>
      <c r="L210" s="52"/>
      <c r="M210" s="52"/>
    </row>
    <row r="211" spans="1:19" ht="11.4" customHeight="1">
      <c r="B211" s="57"/>
      <c r="C211" s="83" t="s">
        <v>2764</v>
      </c>
      <c r="D211" s="65" t="s">
        <v>3003</v>
      </c>
      <c r="E211" s="65"/>
      <c r="F211" s="65"/>
      <c r="G211" s="65"/>
      <c r="H211" s="65"/>
      <c r="I211" s="52"/>
      <c r="J211" s="52"/>
      <c r="K211" s="52"/>
      <c r="L211" s="83" t="s">
        <v>2230</v>
      </c>
      <c r="M211" s="1392" t="s">
        <v>825</v>
      </c>
      <c r="N211" s="1393"/>
      <c r="O211" s="1394"/>
      <c r="P211" s="795" t="s">
        <v>3982</v>
      </c>
      <c r="Q211" s="234"/>
    </row>
    <row r="212" spans="1:19" ht="11.4" customHeight="1">
      <c r="B212" s="57"/>
      <c r="C212" s="83" t="s">
        <v>2765</v>
      </c>
      <c r="D212" s="40" t="s">
        <v>198</v>
      </c>
      <c r="E212" s="40"/>
      <c r="F212" s="40"/>
      <c r="G212" s="40"/>
      <c r="H212" s="40"/>
      <c r="I212" s="52"/>
      <c r="J212" s="52"/>
      <c r="K212" s="52"/>
      <c r="L212" s="83" t="s">
        <v>2231</v>
      </c>
      <c r="M212" s="1392" t="s">
        <v>3990</v>
      </c>
      <c r="N212" s="1393"/>
      <c r="O212" s="1394"/>
      <c r="P212" s="795" t="s">
        <v>3982</v>
      </c>
      <c r="Q212" s="234"/>
    </row>
    <row r="213" spans="1:19" ht="11.4" customHeight="1">
      <c r="B213" s="57"/>
      <c r="C213" s="83" t="s">
        <v>2766</v>
      </c>
      <c r="D213" s="40" t="s">
        <v>855</v>
      </c>
      <c r="E213" s="40"/>
      <c r="F213" s="40"/>
      <c r="G213" s="40"/>
      <c r="H213" s="40"/>
      <c r="I213" s="52"/>
      <c r="J213" s="52"/>
      <c r="K213" s="52"/>
      <c r="L213" s="83" t="s">
        <v>2232</v>
      </c>
      <c r="M213" s="1401" t="s">
        <v>3991</v>
      </c>
      <c r="N213" s="1402"/>
      <c r="O213" s="1403"/>
      <c r="P213" s="795" t="s">
        <v>3982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795" t="s">
        <v>3982</v>
      </c>
      <c r="Q215" s="234"/>
    </row>
    <row r="216" spans="1:19" ht="10.95" customHeight="1">
      <c r="B216" s="57"/>
      <c r="C216" s="65" t="s">
        <v>3792</v>
      </c>
      <c r="D216" s="65"/>
      <c r="E216" s="65"/>
      <c r="F216" s="65"/>
      <c r="G216" s="65"/>
      <c r="H216" s="65"/>
      <c r="I216" s="65"/>
      <c r="J216" s="65"/>
      <c r="K216" s="52"/>
      <c r="L216" s="52"/>
      <c r="M216" s="52"/>
      <c r="N216" s="52"/>
      <c r="O216" s="52"/>
      <c r="P216" s="1490" t="s">
        <v>4</v>
      </c>
      <c r="Q216" s="1490"/>
    </row>
    <row r="217" spans="1:19" ht="10.95"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 customHeight="1">
      <c r="A218" s="129"/>
      <c r="B218" s="64"/>
      <c r="C218" s="83" t="s">
        <v>2764</v>
      </c>
      <c r="D218" s="1389" t="s">
        <v>3992</v>
      </c>
      <c r="E218" s="1390"/>
      <c r="F218" s="1390"/>
      <c r="G218" s="1390"/>
      <c r="H218" s="1391"/>
      <c r="I218" s="456"/>
      <c r="J218" s="294"/>
      <c r="K218" s="83" t="s">
        <v>2766</v>
      </c>
      <c r="L218" s="1389"/>
      <c r="M218" s="1390"/>
      <c r="N218" s="1390"/>
      <c r="O218" s="1391"/>
      <c r="P218" s="354"/>
      <c r="Q218" s="294"/>
    </row>
    <row r="219" spans="1:19" s="53" customFormat="1" ht="11.4" customHeight="1">
      <c r="A219" s="129"/>
      <c r="B219" s="64"/>
      <c r="C219" s="83" t="s">
        <v>2765</v>
      </c>
      <c r="D219" s="1383" t="s">
        <v>3993</v>
      </c>
      <c r="E219" s="1384"/>
      <c r="F219" s="1384"/>
      <c r="G219" s="1384"/>
      <c r="H219" s="1385"/>
      <c r="I219" s="689"/>
      <c r="J219" s="295"/>
      <c r="K219" s="83" t="s">
        <v>3571</v>
      </c>
      <c r="L219" s="1383"/>
      <c r="M219" s="1384"/>
      <c r="N219" s="1384"/>
      <c r="O219" s="1385"/>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795" t="s">
        <v>3982</v>
      </c>
      <c r="Q221" s="234"/>
    </row>
    <row r="222" spans="1:19" ht="11.4" customHeight="1">
      <c r="B222" s="57"/>
      <c r="C222" s="83" t="s">
        <v>2764</v>
      </c>
      <c r="D222" s="65" t="s">
        <v>207</v>
      </c>
      <c r="E222" s="65"/>
      <c r="F222" s="65"/>
      <c r="G222" s="65"/>
      <c r="H222" s="65"/>
      <c r="I222" s="52"/>
      <c r="J222" s="42"/>
      <c r="K222" s="52"/>
      <c r="L222" s="42"/>
      <c r="M222" s="42"/>
      <c r="O222" s="83" t="s">
        <v>2764</v>
      </c>
      <c r="P222" s="795" t="s">
        <v>3963</v>
      </c>
      <c r="Q222" s="234"/>
    </row>
    <row r="223" spans="1:19" ht="11.4" customHeight="1">
      <c r="C223" s="83" t="s">
        <v>2765</v>
      </c>
      <c r="D223" s="40" t="s">
        <v>2647</v>
      </c>
      <c r="E223" s="40"/>
      <c r="F223" s="40"/>
      <c r="G223" s="40"/>
      <c r="H223" s="40"/>
      <c r="I223" s="52"/>
      <c r="J223" s="42"/>
      <c r="K223" s="52"/>
      <c r="L223" s="42"/>
      <c r="M223" s="42"/>
      <c r="O223" s="83" t="s">
        <v>2765</v>
      </c>
      <c r="P223" s="795" t="s">
        <v>3963</v>
      </c>
      <c r="Q223" s="234"/>
    </row>
    <row r="224" spans="1:19" ht="11.4" customHeight="1">
      <c r="C224" s="83" t="s">
        <v>2766</v>
      </c>
      <c r="D224" s="40" t="s">
        <v>2256</v>
      </c>
      <c r="E224" s="40"/>
      <c r="F224" s="40"/>
      <c r="G224" s="40"/>
      <c r="H224" s="40"/>
      <c r="I224" s="52"/>
      <c r="J224" s="42"/>
      <c r="K224" s="52"/>
      <c r="L224" s="42"/>
      <c r="M224" s="42"/>
      <c r="O224" s="83" t="s">
        <v>2766</v>
      </c>
      <c r="P224" s="795" t="s">
        <v>3963</v>
      </c>
      <c r="Q224" s="234"/>
    </row>
    <row r="225" spans="1:31" ht="11.4" customHeight="1">
      <c r="B225" s="57"/>
      <c r="C225" s="83" t="s">
        <v>3571</v>
      </c>
      <c r="D225" s="40" t="s">
        <v>208</v>
      </c>
      <c r="E225" s="40"/>
      <c r="F225" s="40"/>
      <c r="G225" s="40"/>
      <c r="H225" s="40"/>
      <c r="I225" s="52"/>
      <c r="J225" s="42"/>
      <c r="K225" s="52"/>
      <c r="L225" s="42"/>
      <c r="M225" s="42"/>
      <c r="O225" s="83" t="s">
        <v>3571</v>
      </c>
      <c r="P225" s="795" t="s">
        <v>3963</v>
      </c>
      <c r="Q225" s="234"/>
    </row>
    <row r="226" spans="1:31" ht="11.4" customHeight="1">
      <c r="B226" s="57"/>
      <c r="C226" s="83" t="s">
        <v>2303</v>
      </c>
      <c r="D226" s="65" t="s">
        <v>1351</v>
      </c>
      <c r="E226" s="65"/>
      <c r="F226" s="65"/>
      <c r="G226" s="65"/>
      <c r="H226" s="65"/>
      <c r="I226" s="52"/>
      <c r="J226" s="42"/>
      <c r="K226" s="52"/>
      <c r="L226" s="42"/>
      <c r="M226" s="42"/>
      <c r="O226" s="83" t="s">
        <v>1352</v>
      </c>
      <c r="P226" s="795" t="s">
        <v>3963</v>
      </c>
      <c r="Q226" s="234"/>
    </row>
    <row r="227" spans="1:31" ht="11.4" customHeight="1">
      <c r="B227" s="57"/>
      <c r="C227" s="83"/>
      <c r="D227" s="65" t="s">
        <v>2233</v>
      </c>
      <c r="E227" s="65"/>
      <c r="F227" s="65"/>
      <c r="G227" s="65"/>
      <c r="H227" s="65"/>
      <c r="I227" s="52"/>
      <c r="J227" s="42"/>
      <c r="K227" s="52"/>
      <c r="L227" s="42"/>
      <c r="M227" s="42"/>
      <c r="O227" s="83" t="s">
        <v>1353</v>
      </c>
      <c r="P227" s="795"/>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2344</v>
      </c>
      <c r="D229" s="65"/>
      <c r="E229" s="65"/>
      <c r="F229" s="65"/>
      <c r="G229" s="65"/>
      <c r="H229" s="65"/>
      <c r="I229" s="65"/>
      <c r="J229" s="65"/>
      <c r="K229" s="52"/>
      <c r="L229" s="65"/>
      <c r="M229" s="65"/>
      <c r="O229" s="62" t="s">
        <v>3212</v>
      </c>
      <c r="P229" s="795" t="s">
        <v>3982</v>
      </c>
      <c r="Q229" s="234"/>
    </row>
    <row r="230" spans="1:31" ht="11.4" customHeight="1">
      <c r="B230" s="57"/>
      <c r="C230" s="83" t="s">
        <v>2764</v>
      </c>
      <c r="D230" s="49" t="s">
        <v>1933</v>
      </c>
      <c r="E230" s="52"/>
      <c r="F230" s="52"/>
      <c r="G230" s="49"/>
      <c r="H230" s="40"/>
      <c r="I230" s="52"/>
      <c r="J230" s="40"/>
      <c r="K230" s="52"/>
      <c r="L230" s="40"/>
      <c r="M230" s="40"/>
      <c r="O230" s="83" t="s">
        <v>2764</v>
      </c>
      <c r="P230" s="795" t="s">
        <v>3965</v>
      </c>
      <c r="Q230" s="234"/>
    </row>
    <row r="231" spans="1:31" ht="11.4" customHeight="1">
      <c r="B231" s="57"/>
      <c r="C231" s="83" t="s">
        <v>2765</v>
      </c>
      <c r="D231" s="49" t="s">
        <v>199</v>
      </c>
      <c r="E231" s="52"/>
      <c r="F231" s="52"/>
      <c r="G231" s="40"/>
      <c r="H231" s="40"/>
      <c r="I231" s="52"/>
      <c r="J231" s="40"/>
      <c r="K231" s="52"/>
      <c r="L231" s="40"/>
      <c r="M231" s="40"/>
      <c r="O231" s="83" t="s">
        <v>2765</v>
      </c>
      <c r="P231" s="795" t="s">
        <v>3965</v>
      </c>
      <c r="Q231" s="234"/>
    </row>
    <row r="232" spans="1:31" ht="11.4" customHeight="1">
      <c r="B232" s="57"/>
      <c r="C232" s="83" t="s">
        <v>2766</v>
      </c>
      <c r="D232" s="40" t="s">
        <v>2625</v>
      </c>
      <c r="E232" s="52"/>
      <c r="F232" s="52"/>
      <c r="G232" s="40"/>
      <c r="H232" s="40"/>
      <c r="I232" s="52"/>
      <c r="J232" s="40"/>
      <c r="K232" s="52"/>
      <c r="L232" s="40"/>
      <c r="M232" s="40"/>
      <c r="O232" s="83" t="s">
        <v>3581</v>
      </c>
      <c r="P232" s="795" t="s">
        <v>3963</v>
      </c>
      <c r="Q232" s="234"/>
    </row>
    <row r="233" spans="1:31" ht="11.4" customHeight="1">
      <c r="B233" s="46"/>
      <c r="C233" s="52"/>
      <c r="D233" s="40" t="s">
        <v>1984</v>
      </c>
      <c r="E233" s="52"/>
      <c r="F233" s="52"/>
      <c r="G233" s="40"/>
      <c r="H233" s="40"/>
      <c r="I233" s="52"/>
      <c r="J233" s="40"/>
      <c r="K233" s="52"/>
      <c r="L233" s="40"/>
      <c r="M233" s="40"/>
      <c r="O233" s="83" t="s">
        <v>3582</v>
      </c>
      <c r="P233" s="795"/>
      <c r="Q233" s="234"/>
    </row>
    <row r="234" spans="1:31" ht="11.25" customHeight="1">
      <c r="B234" s="191" t="s">
        <v>2921</v>
      </c>
      <c r="D234" s="191"/>
      <c r="E234" s="191"/>
      <c r="F234" s="191"/>
      <c r="G234" s="191"/>
      <c r="H234" s="50"/>
      <c r="I234" s="179"/>
      <c r="J234" s="179"/>
      <c r="K234" s="179"/>
      <c r="L234" s="738"/>
      <c r="M234" s="738"/>
      <c r="N234" s="738"/>
      <c r="O234" s="738"/>
      <c r="P234" s="738"/>
      <c r="Q234" s="63"/>
    </row>
    <row r="235" spans="1:31" ht="11.4" customHeight="1">
      <c r="A235" s="1389" t="s">
        <v>3994</v>
      </c>
      <c r="B235" s="1390"/>
      <c r="C235" s="1390"/>
      <c r="D235" s="1390"/>
      <c r="E235" s="1390"/>
      <c r="F235" s="1390"/>
      <c r="G235" s="1390"/>
      <c r="H235" s="1390"/>
      <c r="I235" s="1390"/>
      <c r="J235" s="1390"/>
      <c r="K235" s="1390"/>
      <c r="L235" s="1390"/>
      <c r="M235" s="1390"/>
      <c r="N235" s="1390"/>
      <c r="O235" s="1390"/>
      <c r="P235" s="1390"/>
      <c r="Q235" s="1391"/>
      <c r="R235" s="1405" t="s">
        <v>1932</v>
      </c>
      <c r="S235" s="1405"/>
      <c r="U235" s="185"/>
      <c r="V235" s="185"/>
      <c r="W235" s="185"/>
      <c r="X235" s="185"/>
      <c r="Y235" s="185"/>
      <c r="Z235" s="185"/>
      <c r="AA235" s="185"/>
      <c r="AB235" s="185"/>
      <c r="AC235" s="185"/>
      <c r="AD235" s="185"/>
      <c r="AE235" s="186"/>
    </row>
    <row r="236" spans="1:31" ht="11.4" customHeight="1">
      <c r="A236" s="1383" t="s">
        <v>3995</v>
      </c>
      <c r="B236" s="1384"/>
      <c r="C236" s="1384"/>
      <c r="D236" s="1384"/>
      <c r="E236" s="1384"/>
      <c r="F236" s="1384"/>
      <c r="G236" s="1384"/>
      <c r="H236" s="1384"/>
      <c r="I236" s="1384"/>
      <c r="J236" s="1384"/>
      <c r="K236" s="1384"/>
      <c r="L236" s="1384"/>
      <c r="M236" s="1384"/>
      <c r="N236" s="1384"/>
      <c r="O236" s="1384"/>
      <c r="P236" s="1384"/>
      <c r="Q236" s="1385"/>
      <c r="R236" s="1405"/>
      <c r="S236" s="1405"/>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2" customHeight="1">
      <c r="A238" s="1380"/>
      <c r="B238" s="1381"/>
      <c r="C238" s="1381"/>
      <c r="D238" s="1381"/>
      <c r="E238" s="1381"/>
      <c r="F238" s="1381"/>
      <c r="G238" s="1381"/>
      <c r="H238" s="1381"/>
      <c r="I238" s="1381"/>
      <c r="J238" s="1381"/>
      <c r="K238" s="1381"/>
      <c r="L238" s="1381"/>
      <c r="M238" s="1381"/>
      <c r="N238" s="1381"/>
      <c r="O238" s="1381"/>
      <c r="P238" s="1381"/>
      <c r="Q238" s="1382"/>
    </row>
    <row r="239" spans="1:31" ht="13.2" customHeight="1">
      <c r="A239" s="1398"/>
      <c r="B239" s="1399"/>
      <c r="C239" s="1399"/>
      <c r="D239" s="1399"/>
      <c r="E239" s="1399"/>
      <c r="F239" s="1399"/>
      <c r="G239" s="1399"/>
      <c r="H239" s="1399"/>
      <c r="I239" s="1399"/>
      <c r="J239" s="1399"/>
      <c r="K239" s="1399"/>
      <c r="L239" s="1399"/>
      <c r="M239" s="1399"/>
      <c r="N239" s="1399"/>
      <c r="O239" s="1399"/>
      <c r="P239" s="1399"/>
      <c r="Q239" s="1400"/>
    </row>
    <row r="240" spans="1:31" ht="3" customHeight="1">
      <c r="A240" s="738"/>
      <c r="B240" s="179"/>
      <c r="C240" s="740"/>
      <c r="D240" s="740"/>
      <c r="E240" s="740"/>
      <c r="F240" s="740"/>
      <c r="G240" s="740"/>
      <c r="H240" s="740"/>
      <c r="I240" s="740"/>
      <c r="J240" s="740"/>
      <c r="K240" s="740"/>
      <c r="L240" s="740"/>
      <c r="M240" s="740"/>
      <c r="Q240" s="738"/>
    </row>
    <row r="241" spans="1:31" ht="13.95" customHeight="1">
      <c r="A241" s="742">
        <v>14</v>
      </c>
      <c r="B241" s="5" t="s">
        <v>3121</v>
      </c>
      <c r="C241" s="5"/>
      <c r="D241" s="118"/>
      <c r="E241" s="118"/>
      <c r="F241" s="118"/>
      <c r="G241" s="118"/>
      <c r="H241" s="740"/>
      <c r="I241" s="740"/>
      <c r="J241" s="740"/>
      <c r="K241" s="740"/>
      <c r="L241" s="740"/>
      <c r="M241" s="740"/>
      <c r="O241" s="180" t="s">
        <v>2923</v>
      </c>
      <c r="P241" s="1386"/>
      <c r="Q241" s="1387"/>
    </row>
    <row r="242" spans="1:31" ht="4.95" customHeight="1"/>
    <row r="243" spans="1:31" ht="11.4" customHeight="1">
      <c r="B243" s="57" t="s">
        <v>3060</v>
      </c>
      <c r="C243" s="65" t="s">
        <v>1952</v>
      </c>
      <c r="D243" s="52"/>
      <c r="E243" s="65"/>
      <c r="F243" s="65"/>
      <c r="G243" s="65"/>
      <c r="H243" s="65"/>
      <c r="I243" s="52"/>
      <c r="J243" s="52"/>
      <c r="K243" s="52"/>
      <c r="L243" s="62" t="s">
        <v>3060</v>
      </c>
      <c r="M243" s="1392" t="s">
        <v>2800</v>
      </c>
      <c r="N243" s="1393"/>
      <c r="O243" s="1394"/>
      <c r="P243" s="1444" t="s">
        <v>2800</v>
      </c>
      <c r="Q243" s="1445"/>
    </row>
    <row r="244" spans="1:31" ht="11.4" customHeight="1">
      <c r="B244" s="57" t="s">
        <v>3063</v>
      </c>
      <c r="C244" s="65" t="s">
        <v>1921</v>
      </c>
      <c r="D244" s="65"/>
      <c r="E244" s="65"/>
      <c r="F244" s="65"/>
      <c r="G244" s="65"/>
      <c r="H244" s="65"/>
      <c r="I244" s="52"/>
      <c r="J244" s="52"/>
      <c r="K244" s="52"/>
      <c r="L244" s="62" t="s">
        <v>3063</v>
      </c>
      <c r="M244" s="1449"/>
      <c r="N244" s="1450"/>
      <c r="O244" s="1451"/>
      <c r="P244" s="1446"/>
      <c r="Q244" s="1447"/>
    </row>
    <row r="245" spans="1:31" s="200" customFormat="1" ht="11.4" customHeight="1">
      <c r="B245" s="57" t="s">
        <v>1238</v>
      </c>
      <c r="C245" s="65" t="s">
        <v>3017</v>
      </c>
      <c r="D245" s="65"/>
      <c r="E245" s="65"/>
      <c r="F245" s="65"/>
      <c r="G245" s="65"/>
      <c r="H245" s="65"/>
      <c r="I245" s="129"/>
      <c r="J245" s="129"/>
      <c r="K245" s="129"/>
      <c r="L245" s="62" t="s">
        <v>1238</v>
      </c>
      <c r="M245" s="1392"/>
      <c r="N245" s="1393"/>
      <c r="O245" s="1394"/>
      <c r="P245" s="1444"/>
      <c r="Q245" s="1445"/>
    </row>
    <row r="246" spans="1:31" s="200" customFormat="1" ht="11.4" customHeight="1">
      <c r="B246" s="57" t="s">
        <v>3212</v>
      </c>
      <c r="C246" s="65" t="s">
        <v>3842</v>
      </c>
      <c r="D246" s="65"/>
      <c r="E246" s="65"/>
      <c r="F246" s="65"/>
      <c r="G246" s="65"/>
      <c r="H246" s="65"/>
      <c r="I246" s="129"/>
      <c r="J246" s="129"/>
      <c r="K246" s="129"/>
      <c r="L246" s="129"/>
      <c r="M246" s="129"/>
      <c r="O246" s="62" t="s">
        <v>3212</v>
      </c>
      <c r="P246" s="795"/>
      <c r="Q246" s="234"/>
    </row>
    <row r="247" spans="1:31" s="200" customFormat="1" ht="22.2" customHeight="1">
      <c r="B247" s="192" t="s">
        <v>2762</v>
      </c>
      <c r="C247" s="1448" t="s">
        <v>1969</v>
      </c>
      <c r="D247" s="1448"/>
      <c r="E247" s="1448"/>
      <c r="F247" s="1448"/>
      <c r="G247" s="1448"/>
      <c r="H247" s="1448"/>
      <c r="I247" s="1448"/>
      <c r="J247" s="1448"/>
      <c r="K247" s="1448"/>
      <c r="L247" s="1448"/>
      <c r="M247" s="1448"/>
      <c r="O247" s="221" t="s">
        <v>2762</v>
      </c>
      <c r="P247" s="795"/>
      <c r="Q247" s="234"/>
    </row>
    <row r="248" spans="1:31" ht="11.25" customHeight="1">
      <c r="B248" s="191" t="s">
        <v>2921</v>
      </c>
      <c r="D248" s="191"/>
      <c r="E248" s="191"/>
      <c r="F248" s="191"/>
      <c r="G248" s="191"/>
      <c r="H248" s="50"/>
      <c r="I248" s="179"/>
      <c r="J248" s="179"/>
      <c r="K248" s="179"/>
      <c r="L248" s="738"/>
      <c r="M248" s="738"/>
      <c r="N248" s="738"/>
      <c r="O248" s="738"/>
      <c r="P248" s="738"/>
      <c r="Q248" s="63"/>
    </row>
    <row r="249" spans="1:31" ht="13.2" customHeight="1">
      <c r="A249" s="1389"/>
      <c r="B249" s="1390"/>
      <c r="C249" s="1390"/>
      <c r="D249" s="1390"/>
      <c r="E249" s="1390"/>
      <c r="F249" s="1390"/>
      <c r="G249" s="1390"/>
      <c r="H249" s="1390"/>
      <c r="I249" s="1390"/>
      <c r="J249" s="1390"/>
      <c r="K249" s="1390"/>
      <c r="L249" s="1390"/>
      <c r="M249" s="1390"/>
      <c r="N249" s="1390"/>
      <c r="O249" s="1390"/>
      <c r="P249" s="1390"/>
      <c r="Q249" s="1391"/>
      <c r="R249" s="1405" t="s">
        <v>1932</v>
      </c>
      <c r="S249" s="1405"/>
      <c r="U249" s="185"/>
      <c r="V249" s="185"/>
      <c r="W249" s="185"/>
      <c r="X249" s="185"/>
      <c r="Y249" s="185"/>
      <c r="Z249" s="185"/>
      <c r="AA249" s="185"/>
      <c r="AB249" s="185"/>
      <c r="AC249" s="185"/>
      <c r="AD249" s="185"/>
      <c r="AE249" s="186"/>
    </row>
    <row r="250" spans="1:31" ht="13.2" customHeight="1">
      <c r="A250" s="1383"/>
      <c r="B250" s="1384"/>
      <c r="C250" s="1384"/>
      <c r="D250" s="1384"/>
      <c r="E250" s="1384"/>
      <c r="F250" s="1384"/>
      <c r="G250" s="1384"/>
      <c r="H250" s="1384"/>
      <c r="I250" s="1384"/>
      <c r="J250" s="1384"/>
      <c r="K250" s="1384"/>
      <c r="L250" s="1384"/>
      <c r="M250" s="1384"/>
      <c r="N250" s="1384"/>
      <c r="O250" s="1384"/>
      <c r="P250" s="1384"/>
      <c r="Q250" s="1385"/>
      <c r="R250" s="1405"/>
      <c r="S250" s="1405"/>
    </row>
    <row r="251" spans="1:31" ht="10.95" customHeight="1">
      <c r="B251" s="187" t="s">
        <v>2922</v>
      </c>
      <c r="C251" s="188"/>
      <c r="D251" s="740"/>
      <c r="E251" s="740"/>
      <c r="F251" s="740"/>
      <c r="G251" s="740"/>
      <c r="H251" s="740"/>
      <c r="I251" s="740"/>
      <c r="J251" s="740"/>
      <c r="K251" s="740"/>
      <c r="L251" s="740"/>
      <c r="M251" s="740"/>
      <c r="N251" s="740"/>
      <c r="O251" s="740"/>
      <c r="P251" s="740"/>
      <c r="Q251" s="740"/>
    </row>
    <row r="252" spans="1:31" ht="13.2" customHeight="1">
      <c r="A252" s="1380"/>
      <c r="B252" s="1381"/>
      <c r="C252" s="1381"/>
      <c r="D252" s="1381"/>
      <c r="E252" s="1381"/>
      <c r="F252" s="1381"/>
      <c r="G252" s="1381"/>
      <c r="H252" s="1381"/>
      <c r="I252" s="1381"/>
      <c r="J252" s="1381"/>
      <c r="K252" s="1381"/>
      <c r="L252" s="1381"/>
      <c r="M252" s="1381"/>
      <c r="N252" s="1381"/>
      <c r="O252" s="1381"/>
      <c r="P252" s="1381"/>
      <c r="Q252" s="1382"/>
    </row>
    <row r="253" spans="1:31" ht="13.2" customHeight="1">
      <c r="A253" s="1398"/>
      <c r="B253" s="1399"/>
      <c r="C253" s="1399"/>
      <c r="D253" s="1399"/>
      <c r="E253" s="1399"/>
      <c r="F253" s="1399"/>
      <c r="G253" s="1399"/>
      <c r="H253" s="1399"/>
      <c r="I253" s="1399"/>
      <c r="J253" s="1399"/>
      <c r="K253" s="1399"/>
      <c r="L253" s="1399"/>
      <c r="M253" s="1399"/>
      <c r="N253" s="1399"/>
      <c r="O253" s="1399"/>
      <c r="P253" s="1399"/>
      <c r="Q253" s="1400"/>
    </row>
    <row r="254" spans="1:31" ht="3" customHeight="1">
      <c r="A254" s="738"/>
      <c r="B254" s="179"/>
      <c r="C254" s="740"/>
      <c r="D254" s="740"/>
      <c r="E254" s="740"/>
      <c r="F254" s="740"/>
      <c r="G254" s="740"/>
      <c r="H254" s="740"/>
      <c r="I254" s="740"/>
      <c r="J254" s="740"/>
      <c r="K254" s="740"/>
      <c r="L254" s="740"/>
      <c r="M254" s="740"/>
      <c r="Q254" s="738"/>
    </row>
    <row r="255" spans="1:31" ht="13.95" customHeight="1">
      <c r="A255" s="742">
        <v>15</v>
      </c>
      <c r="B255" s="5" t="s">
        <v>2819</v>
      </c>
      <c r="C255" s="5"/>
      <c r="D255" s="118"/>
      <c r="E255" s="118"/>
      <c r="F255" s="118"/>
      <c r="G255" s="118"/>
      <c r="H255" s="740"/>
      <c r="I255" s="740"/>
      <c r="J255" s="740"/>
      <c r="K255" s="740"/>
      <c r="L255" s="740"/>
      <c r="M255" s="740"/>
      <c r="O255" s="180" t="s">
        <v>2923</v>
      </c>
      <c r="P255" s="1386"/>
      <c r="Q255" s="1387"/>
    </row>
    <row r="256" spans="1:31" ht="3" customHeight="1"/>
    <row r="257" spans="1:31" s="200" customFormat="1" ht="11.4" customHeight="1">
      <c r="B257" s="57" t="s">
        <v>3060</v>
      </c>
      <c r="C257" s="40" t="s">
        <v>3125</v>
      </c>
      <c r="D257" s="40"/>
      <c r="E257" s="40"/>
      <c r="F257" s="40"/>
      <c r="G257" s="40"/>
      <c r="H257" s="40"/>
      <c r="I257" s="40"/>
      <c r="J257" s="40"/>
      <c r="K257" s="40"/>
      <c r="L257" s="40"/>
      <c r="M257" s="40"/>
      <c r="O257" s="62" t="s">
        <v>3060</v>
      </c>
      <c r="P257" s="795" t="s">
        <v>3963</v>
      </c>
      <c r="Q257" s="234"/>
    </row>
    <row r="258" spans="1:31" s="200" customFormat="1" ht="11.4" customHeight="1">
      <c r="B258" s="57" t="s">
        <v>3063</v>
      </c>
      <c r="C258" s="65" t="s">
        <v>2113</v>
      </c>
      <c r="D258" s="65"/>
      <c r="E258" s="65"/>
      <c r="F258" s="65"/>
      <c r="G258" s="65"/>
      <c r="H258" s="65"/>
      <c r="I258" s="65"/>
      <c r="J258" s="65"/>
      <c r="K258" s="65"/>
      <c r="L258" s="65"/>
      <c r="M258" s="65"/>
      <c r="O258" s="62" t="s">
        <v>3063</v>
      </c>
      <c r="P258" s="795" t="s">
        <v>3963</v>
      </c>
      <c r="Q258" s="234"/>
    </row>
    <row r="259" spans="1:31" ht="11.25" customHeight="1">
      <c r="B259" s="191" t="s">
        <v>2921</v>
      </c>
      <c r="D259" s="191"/>
      <c r="E259" s="191"/>
      <c r="F259" s="191"/>
      <c r="G259" s="191"/>
      <c r="H259" s="50"/>
      <c r="I259" s="179"/>
      <c r="J259" s="179"/>
      <c r="K259" s="179"/>
      <c r="L259" s="738"/>
      <c r="M259" s="738"/>
      <c r="N259" s="738"/>
      <c r="O259" s="738"/>
      <c r="P259" s="738"/>
      <c r="Q259" s="63"/>
    </row>
    <row r="260" spans="1:31" ht="13.2" customHeight="1">
      <c r="A260" s="1389"/>
      <c r="B260" s="1390"/>
      <c r="C260" s="1390"/>
      <c r="D260" s="1390"/>
      <c r="E260" s="1390"/>
      <c r="F260" s="1390"/>
      <c r="G260" s="1390"/>
      <c r="H260" s="1390"/>
      <c r="I260" s="1390"/>
      <c r="J260" s="1390"/>
      <c r="K260" s="1390"/>
      <c r="L260" s="1390"/>
      <c r="M260" s="1390"/>
      <c r="N260" s="1390"/>
      <c r="O260" s="1390"/>
      <c r="P260" s="1390"/>
      <c r="Q260" s="1391"/>
      <c r="R260" s="1405" t="s">
        <v>1932</v>
      </c>
      <c r="S260" s="1405"/>
      <c r="U260" s="185"/>
      <c r="V260" s="185"/>
      <c r="W260" s="185"/>
      <c r="X260" s="185"/>
      <c r="Y260" s="185"/>
      <c r="Z260" s="185"/>
      <c r="AA260" s="185"/>
      <c r="AB260" s="185"/>
      <c r="AC260" s="185"/>
      <c r="AD260" s="185"/>
      <c r="AE260" s="186"/>
    </row>
    <row r="261" spans="1:31" ht="13.2" customHeight="1">
      <c r="A261" s="1383"/>
      <c r="B261" s="1384"/>
      <c r="C261" s="1384"/>
      <c r="D261" s="1384"/>
      <c r="E261" s="1384"/>
      <c r="F261" s="1384"/>
      <c r="G261" s="1384"/>
      <c r="H261" s="1384"/>
      <c r="I261" s="1384"/>
      <c r="J261" s="1384"/>
      <c r="K261" s="1384"/>
      <c r="L261" s="1384"/>
      <c r="M261" s="1384"/>
      <c r="N261" s="1384"/>
      <c r="O261" s="1384"/>
      <c r="P261" s="1384"/>
      <c r="Q261" s="1385"/>
      <c r="R261" s="1405"/>
      <c r="S261" s="1405"/>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2" customHeight="1">
      <c r="A263" s="1380"/>
      <c r="B263" s="1381"/>
      <c r="C263" s="1381"/>
      <c r="D263" s="1381"/>
      <c r="E263" s="1381"/>
      <c r="F263" s="1381"/>
      <c r="G263" s="1381"/>
      <c r="H263" s="1381"/>
      <c r="I263" s="1381"/>
      <c r="J263" s="1381"/>
      <c r="K263" s="1381"/>
      <c r="L263" s="1381"/>
      <c r="M263" s="1381"/>
      <c r="N263" s="1381"/>
      <c r="O263" s="1381"/>
      <c r="P263" s="1381"/>
      <c r="Q263" s="1382"/>
    </row>
    <row r="264" spans="1:31" ht="13.2" customHeight="1">
      <c r="A264" s="1398"/>
      <c r="B264" s="1399"/>
      <c r="C264" s="1399"/>
      <c r="D264" s="1399"/>
      <c r="E264" s="1399"/>
      <c r="F264" s="1399"/>
      <c r="G264" s="1399"/>
      <c r="H264" s="1399"/>
      <c r="I264" s="1399"/>
      <c r="J264" s="1399"/>
      <c r="K264" s="1399"/>
      <c r="L264" s="1399"/>
      <c r="M264" s="1399"/>
      <c r="N264" s="1399"/>
      <c r="O264" s="1399"/>
      <c r="P264" s="1399"/>
      <c r="Q264" s="1400"/>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5" customHeight="1">
      <c r="A266" s="742">
        <v>16</v>
      </c>
      <c r="B266" s="742" t="s">
        <v>1089</v>
      </c>
      <c r="C266" s="742"/>
      <c r="D266" s="740"/>
      <c r="E266" s="740"/>
      <c r="F266" s="740"/>
      <c r="G266" s="740"/>
      <c r="H266" s="740"/>
      <c r="I266" s="740"/>
      <c r="J266" s="740"/>
      <c r="K266" s="740"/>
      <c r="L266" s="740"/>
      <c r="M266" s="740"/>
      <c r="O266" s="180" t="s">
        <v>2923</v>
      </c>
      <c r="P266" s="1386"/>
      <c r="Q266" s="1387"/>
    </row>
    <row r="267" spans="1:31" ht="3" customHeight="1"/>
    <row r="268" spans="1:31" s="705" customFormat="1" ht="24" customHeight="1">
      <c r="B268" s="192" t="s">
        <v>3060</v>
      </c>
      <c r="C268" s="1388" t="s">
        <v>1207</v>
      </c>
      <c r="D268" s="1404"/>
      <c r="E268" s="1404"/>
      <c r="F268" s="1404"/>
      <c r="G268" s="1404"/>
      <c r="H268" s="1404"/>
      <c r="I268" s="1404"/>
      <c r="J268" s="1404"/>
      <c r="K268" s="1404"/>
      <c r="L268" s="1404"/>
      <c r="M268" s="1404"/>
      <c r="N268" s="1404"/>
      <c r="O268" s="221" t="s">
        <v>3060</v>
      </c>
      <c r="P268" s="795" t="s">
        <v>3982</v>
      </c>
      <c r="Q268" s="234"/>
    </row>
    <row r="269" spans="1:31" s="705" customFormat="1" ht="24" customHeight="1">
      <c r="B269" s="192" t="s">
        <v>3063</v>
      </c>
      <c r="C269" s="1388" t="s">
        <v>1208</v>
      </c>
      <c r="D269" s="1404"/>
      <c r="E269" s="1404"/>
      <c r="F269" s="1404"/>
      <c r="G269" s="1404"/>
      <c r="H269" s="1404"/>
      <c r="I269" s="1404"/>
      <c r="J269" s="1404"/>
      <c r="K269" s="1404"/>
      <c r="L269" s="1404"/>
      <c r="M269" s="1404"/>
      <c r="N269" s="1404"/>
      <c r="O269" s="221" t="s">
        <v>3063</v>
      </c>
      <c r="P269" s="795" t="s">
        <v>3982</v>
      </c>
      <c r="Q269" s="234"/>
    </row>
    <row r="270" spans="1:31" s="705" customFormat="1" ht="33" customHeight="1">
      <c r="B270" s="192" t="s">
        <v>1238</v>
      </c>
      <c r="C270" s="1388" t="s">
        <v>1209</v>
      </c>
      <c r="D270" s="1404"/>
      <c r="E270" s="1404"/>
      <c r="F270" s="1404"/>
      <c r="G270" s="1404"/>
      <c r="H270" s="1404"/>
      <c r="I270" s="1404"/>
      <c r="J270" s="1404"/>
      <c r="K270" s="1404"/>
      <c r="L270" s="1404"/>
      <c r="M270" s="1404"/>
      <c r="N270" s="1404"/>
      <c r="O270" s="221" t="s">
        <v>3063</v>
      </c>
      <c r="P270" s="795"/>
      <c r="Q270" s="234"/>
    </row>
    <row r="271" spans="1:31" ht="11.25" customHeight="1">
      <c r="B271" s="191" t="s">
        <v>2921</v>
      </c>
      <c r="D271" s="191"/>
      <c r="E271" s="191"/>
      <c r="F271" s="191"/>
      <c r="G271" s="191"/>
      <c r="H271" s="50"/>
      <c r="I271" s="179"/>
      <c r="J271" s="179"/>
      <c r="K271" s="179"/>
      <c r="L271" s="738"/>
      <c r="M271" s="738"/>
      <c r="N271" s="738"/>
      <c r="O271" s="738"/>
      <c r="P271" s="738"/>
      <c r="Q271" s="63"/>
    </row>
    <row r="272" spans="1:31" ht="13.2" customHeight="1">
      <c r="A272" s="1389"/>
      <c r="B272" s="1390"/>
      <c r="C272" s="1390"/>
      <c r="D272" s="1390"/>
      <c r="E272" s="1390"/>
      <c r="F272" s="1390"/>
      <c r="G272" s="1390"/>
      <c r="H272" s="1390"/>
      <c r="I272" s="1390"/>
      <c r="J272" s="1390"/>
      <c r="K272" s="1390"/>
      <c r="L272" s="1390"/>
      <c r="M272" s="1390"/>
      <c r="N272" s="1390"/>
      <c r="O272" s="1390"/>
      <c r="P272" s="1390"/>
      <c r="Q272" s="1391"/>
      <c r="R272" s="1405" t="s">
        <v>1932</v>
      </c>
      <c r="S272" s="1405"/>
      <c r="U272" s="185"/>
      <c r="V272" s="185"/>
      <c r="W272" s="185"/>
      <c r="X272" s="185"/>
      <c r="Y272" s="185"/>
      <c r="Z272" s="185"/>
      <c r="AA272" s="185"/>
      <c r="AB272" s="185"/>
      <c r="AC272" s="185"/>
      <c r="AD272" s="185"/>
      <c r="AE272" s="186"/>
    </row>
    <row r="273" spans="1:31" ht="13.2" customHeight="1">
      <c r="A273" s="1383"/>
      <c r="B273" s="1384"/>
      <c r="C273" s="1384"/>
      <c r="D273" s="1384"/>
      <c r="E273" s="1384"/>
      <c r="F273" s="1384"/>
      <c r="G273" s="1384"/>
      <c r="H273" s="1384"/>
      <c r="I273" s="1384"/>
      <c r="J273" s="1384"/>
      <c r="K273" s="1384"/>
      <c r="L273" s="1384"/>
      <c r="M273" s="1384"/>
      <c r="N273" s="1384"/>
      <c r="O273" s="1384"/>
      <c r="P273" s="1384"/>
      <c r="Q273" s="1385"/>
      <c r="R273" s="1405"/>
      <c r="S273" s="1405"/>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2" customHeight="1">
      <c r="A275" s="1380"/>
      <c r="B275" s="1381"/>
      <c r="C275" s="1381"/>
      <c r="D275" s="1381"/>
      <c r="E275" s="1381"/>
      <c r="F275" s="1381"/>
      <c r="G275" s="1381"/>
      <c r="H275" s="1381"/>
      <c r="I275" s="1381"/>
      <c r="J275" s="1381"/>
      <c r="K275" s="1381"/>
      <c r="L275" s="1381"/>
      <c r="M275" s="1381"/>
      <c r="N275" s="1381"/>
      <c r="O275" s="1381"/>
      <c r="P275" s="1381"/>
      <c r="Q275" s="1382"/>
    </row>
    <row r="276" spans="1:31" ht="13.2" customHeight="1">
      <c r="A276" s="1398"/>
      <c r="B276" s="1399"/>
      <c r="C276" s="1399"/>
      <c r="D276" s="1399"/>
      <c r="E276" s="1399"/>
      <c r="F276" s="1399"/>
      <c r="G276" s="1399"/>
      <c r="H276" s="1399"/>
      <c r="I276" s="1399"/>
      <c r="J276" s="1399"/>
      <c r="K276" s="1399"/>
      <c r="L276" s="1399"/>
      <c r="M276" s="1399"/>
      <c r="N276" s="1399"/>
      <c r="O276" s="1399"/>
      <c r="P276" s="1399"/>
      <c r="Q276" s="1400"/>
    </row>
    <row r="277" spans="1:31" ht="5.4" customHeight="1">
      <c r="A277" s="738"/>
      <c r="B277" s="179"/>
      <c r="C277" s="740"/>
      <c r="D277" s="740"/>
      <c r="E277" s="740"/>
      <c r="F277" s="740"/>
      <c r="G277" s="740"/>
      <c r="H277" s="740"/>
      <c r="I277" s="740"/>
      <c r="J277" s="740"/>
      <c r="K277" s="740"/>
      <c r="L277" s="740"/>
      <c r="M277" s="740"/>
      <c r="Q277" s="738"/>
    </row>
    <row r="278" spans="1:31" ht="13.95" customHeight="1">
      <c r="A278" s="742">
        <v>17</v>
      </c>
      <c r="B278" s="742" t="s">
        <v>877</v>
      </c>
      <c r="C278" s="201"/>
      <c r="D278" s="202"/>
      <c r="E278" s="740"/>
      <c r="F278" s="740"/>
      <c r="G278" s="740"/>
      <c r="H278" s="740"/>
      <c r="I278" s="740"/>
      <c r="J278" s="740"/>
      <c r="K278" s="740"/>
      <c r="L278" s="740"/>
      <c r="M278" s="740"/>
      <c r="O278" s="180" t="s">
        <v>2923</v>
      </c>
      <c r="P278" s="1386"/>
      <c r="Q278" s="1387"/>
    </row>
    <row r="279" spans="1:31" s="200" customFormat="1" ht="22.95" customHeight="1">
      <c r="B279" s="192" t="s">
        <v>3060</v>
      </c>
      <c r="C279" s="1448" t="s">
        <v>2944</v>
      </c>
      <c r="D279" s="1448"/>
      <c r="E279" s="1448"/>
      <c r="F279" s="1448"/>
      <c r="G279" s="1448"/>
      <c r="H279" s="1448"/>
      <c r="I279" s="1448"/>
      <c r="J279" s="1448"/>
      <c r="K279" s="1448"/>
      <c r="L279" s="1448"/>
      <c r="M279" s="1448"/>
      <c r="O279" s="221" t="s">
        <v>3060</v>
      </c>
      <c r="P279" s="811" t="s">
        <v>3963</v>
      </c>
      <c r="Q279" s="234"/>
    </row>
    <row r="280" spans="1:31" s="200" customFormat="1" ht="12" customHeight="1">
      <c r="B280" s="57" t="s">
        <v>3063</v>
      </c>
      <c r="C280" s="40" t="s">
        <v>3119</v>
      </c>
      <c r="D280" s="40"/>
      <c r="E280" s="40"/>
      <c r="F280" s="40"/>
      <c r="G280" s="40"/>
      <c r="H280" s="40"/>
      <c r="I280" s="40"/>
      <c r="J280" s="40"/>
      <c r="K280" s="40"/>
      <c r="L280" s="40"/>
      <c r="M280" s="40"/>
      <c r="O280" s="62" t="s">
        <v>3063</v>
      </c>
      <c r="P280" s="795" t="s">
        <v>3963</v>
      </c>
      <c r="Q280" s="234"/>
    </row>
    <row r="281" spans="1:31" s="200" customFormat="1" ht="22.95" customHeight="1">
      <c r="B281" s="192" t="s">
        <v>1238</v>
      </c>
      <c r="C281" s="1388" t="s">
        <v>2887</v>
      </c>
      <c r="D281" s="1404"/>
      <c r="E281" s="1404"/>
      <c r="F281" s="1404"/>
      <c r="G281" s="1404"/>
      <c r="H281" s="1404"/>
      <c r="I281" s="1404"/>
      <c r="J281" s="1404"/>
      <c r="K281" s="1404"/>
      <c r="L281" s="1404"/>
      <c r="M281" s="1404"/>
      <c r="N281" s="1404"/>
      <c r="O281" s="62" t="s">
        <v>1238</v>
      </c>
      <c r="P281" s="795" t="s">
        <v>3963</v>
      </c>
      <c r="Q281" s="234"/>
    </row>
    <row r="282" spans="1:31" s="200" customFormat="1" ht="12" customHeight="1">
      <c r="B282" s="57" t="s">
        <v>3212</v>
      </c>
      <c r="C282" s="40" t="s">
        <v>2888</v>
      </c>
      <c r="D282" s="40"/>
      <c r="E282" s="40"/>
      <c r="F282" s="40"/>
      <c r="G282" s="40"/>
      <c r="H282" s="40"/>
      <c r="I282" s="40"/>
      <c r="J282" s="40"/>
      <c r="K282" s="40"/>
      <c r="L282" s="40"/>
      <c r="M282" s="40"/>
      <c r="O282" s="62" t="s">
        <v>3212</v>
      </c>
      <c r="P282" s="795" t="s">
        <v>3963</v>
      </c>
      <c r="Q282" s="234"/>
    </row>
    <row r="283" spans="1:31" s="200" customFormat="1" ht="22.95" customHeight="1">
      <c r="B283" s="192" t="s">
        <v>2762</v>
      </c>
      <c r="C283" s="1388" t="s">
        <v>1080</v>
      </c>
      <c r="D283" s="1404"/>
      <c r="E283" s="1404"/>
      <c r="F283" s="1404"/>
      <c r="G283" s="1404"/>
      <c r="H283" s="1404"/>
      <c r="I283" s="1404"/>
      <c r="J283" s="1404"/>
      <c r="K283" s="1404"/>
      <c r="L283" s="1404"/>
      <c r="M283" s="1404"/>
      <c r="N283" s="1404"/>
      <c r="O283" s="62" t="s">
        <v>2762</v>
      </c>
      <c r="P283" s="795" t="s">
        <v>3963</v>
      </c>
      <c r="Q283" s="234"/>
    </row>
    <row r="284" spans="1:31" ht="11.25" customHeight="1">
      <c r="B284" s="191" t="s">
        <v>2921</v>
      </c>
      <c r="D284" s="191"/>
      <c r="E284" s="191"/>
      <c r="F284" s="191"/>
      <c r="G284" s="191"/>
      <c r="H284" s="50"/>
      <c r="I284" s="179"/>
      <c r="J284" s="179"/>
      <c r="K284" s="179"/>
      <c r="L284" s="738"/>
      <c r="M284" s="738"/>
      <c r="N284" s="738"/>
      <c r="O284" s="738"/>
      <c r="P284" s="738"/>
      <c r="Q284" s="63"/>
    </row>
    <row r="285" spans="1:31" ht="11.4" customHeight="1">
      <c r="A285" s="1389"/>
      <c r="B285" s="1390"/>
      <c r="C285" s="1390"/>
      <c r="D285" s="1390"/>
      <c r="E285" s="1390"/>
      <c r="F285" s="1390"/>
      <c r="G285" s="1390"/>
      <c r="H285" s="1390"/>
      <c r="I285" s="1390"/>
      <c r="J285" s="1390"/>
      <c r="K285" s="1390"/>
      <c r="L285" s="1390"/>
      <c r="M285" s="1390"/>
      <c r="N285" s="1390"/>
      <c r="O285" s="1390"/>
      <c r="P285" s="1390"/>
      <c r="Q285" s="1391"/>
      <c r="R285" s="1405" t="s">
        <v>1932</v>
      </c>
      <c r="S285" s="1405"/>
      <c r="U285" s="185"/>
      <c r="V285" s="185"/>
      <c r="W285" s="185"/>
      <c r="X285" s="185"/>
      <c r="Y285" s="185"/>
      <c r="Z285" s="185"/>
      <c r="AA285" s="185"/>
      <c r="AB285" s="185"/>
      <c r="AC285" s="185"/>
      <c r="AD285" s="185"/>
      <c r="AE285" s="186"/>
    </row>
    <row r="286" spans="1:31" ht="11.4" customHeight="1">
      <c r="A286" s="1383"/>
      <c r="B286" s="1384"/>
      <c r="C286" s="1384"/>
      <c r="D286" s="1384"/>
      <c r="E286" s="1384"/>
      <c r="F286" s="1384"/>
      <c r="G286" s="1384"/>
      <c r="H286" s="1384"/>
      <c r="I286" s="1384"/>
      <c r="J286" s="1384"/>
      <c r="K286" s="1384"/>
      <c r="L286" s="1384"/>
      <c r="M286" s="1384"/>
      <c r="N286" s="1384"/>
      <c r="O286" s="1384"/>
      <c r="P286" s="1384"/>
      <c r="Q286" s="1385"/>
      <c r="R286" s="1405"/>
      <c r="S286" s="1405"/>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 customHeight="1">
      <c r="A288" s="1380"/>
      <c r="B288" s="1381"/>
      <c r="C288" s="1381"/>
      <c r="D288" s="1381"/>
      <c r="E288" s="1381"/>
      <c r="F288" s="1381"/>
      <c r="G288" s="1381"/>
      <c r="H288" s="1381"/>
      <c r="I288" s="1381"/>
      <c r="J288" s="1381"/>
      <c r="K288" s="1381"/>
      <c r="L288" s="1381"/>
      <c r="M288" s="1381"/>
      <c r="N288" s="1381"/>
      <c r="O288" s="1381"/>
      <c r="P288" s="1381"/>
      <c r="Q288" s="1382"/>
    </row>
    <row r="289" spans="1:256" ht="11.4" customHeight="1">
      <c r="A289" s="1398"/>
      <c r="B289" s="1399"/>
      <c r="C289" s="1399"/>
      <c r="D289" s="1399"/>
      <c r="E289" s="1399"/>
      <c r="F289" s="1399"/>
      <c r="G289" s="1399"/>
      <c r="H289" s="1399"/>
      <c r="I289" s="1399"/>
      <c r="J289" s="1399"/>
      <c r="K289" s="1399"/>
      <c r="L289" s="1399"/>
      <c r="M289" s="1399"/>
      <c r="N289" s="1399"/>
      <c r="O289" s="1399"/>
      <c r="P289" s="1399"/>
      <c r="Q289" s="1400"/>
    </row>
    <row r="290" spans="1:256" ht="13.95" customHeight="1">
      <c r="A290" s="742">
        <v>18</v>
      </c>
      <c r="B290" s="1437" t="s">
        <v>3325</v>
      </c>
      <c r="C290" s="1437"/>
      <c r="D290" s="1437"/>
      <c r="E290" s="1437"/>
      <c r="F290" s="1437"/>
      <c r="G290" s="1437"/>
      <c r="H290" s="740"/>
      <c r="I290" s="740"/>
      <c r="J290" s="740"/>
      <c r="K290" s="740"/>
      <c r="L290" s="740"/>
      <c r="M290" s="740"/>
      <c r="O290" s="180" t="s">
        <v>2923</v>
      </c>
      <c r="P290" s="1386"/>
      <c r="Q290" s="1387"/>
    </row>
    <row r="291" spans="1:256" ht="11.4" customHeight="1">
      <c r="B291" s="195" t="s">
        <v>3382</v>
      </c>
      <c r="P291" s="795" t="s">
        <v>3965</v>
      </c>
      <c r="Q291" s="234"/>
    </row>
    <row r="292" spans="1:256" ht="12" customHeight="1">
      <c r="B292" s="197" t="s">
        <v>3326</v>
      </c>
      <c r="C292" s="197"/>
      <c r="D292" s="197"/>
      <c r="E292" s="197"/>
      <c r="F292" s="197"/>
      <c r="G292" s="197"/>
      <c r="H292" s="197"/>
      <c r="I292" s="197"/>
      <c r="J292" s="197"/>
      <c r="K292" s="197"/>
      <c r="L292" s="197"/>
      <c r="P292" s="795" t="s">
        <v>3963</v>
      </c>
      <c r="Q292" s="234"/>
    </row>
    <row r="293" spans="1:256" ht="11.4" customHeight="1">
      <c r="B293" s="192" t="s">
        <v>3060</v>
      </c>
      <c r="C293" s="263" t="s">
        <v>673</v>
      </c>
      <c r="D293" s="40"/>
      <c r="E293" s="40"/>
      <c r="F293" s="40"/>
      <c r="G293" s="40"/>
      <c r="H293" s="40"/>
      <c r="I293" s="40"/>
      <c r="J293" s="40"/>
      <c r="K293" s="40"/>
      <c r="L293" s="40"/>
      <c r="M293" s="40"/>
      <c r="N293" s="221"/>
    </row>
    <row r="294" spans="1:256" ht="33.6" customHeight="1">
      <c r="A294" s="194"/>
      <c r="C294" s="1484" t="s">
        <v>1081</v>
      </c>
      <c r="D294" s="1484"/>
      <c r="E294" s="1484"/>
      <c r="F294" s="1484"/>
      <c r="G294" s="1484"/>
      <c r="H294" s="1484"/>
      <c r="I294" s="1484"/>
      <c r="J294" s="1484"/>
      <c r="K294" s="1484"/>
      <c r="L294" s="1484"/>
      <c r="M294" s="1484"/>
      <c r="N294" s="1484"/>
      <c r="O294" s="221" t="s">
        <v>3060</v>
      </c>
      <c r="P294" s="811"/>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3063</v>
      </c>
      <c r="C296" s="1477" t="s">
        <v>674</v>
      </c>
      <c r="D296" s="1477"/>
      <c r="E296" s="1477"/>
      <c r="F296" s="1477"/>
      <c r="G296" s="1477"/>
      <c r="H296" s="1477"/>
      <c r="I296" s="1477"/>
      <c r="J296" s="1477"/>
      <c r="K296" s="1477"/>
      <c r="L296" s="1477"/>
      <c r="M296" s="1477"/>
      <c r="O296" s="221" t="s">
        <v>3063</v>
      </c>
      <c r="P296" s="795" t="s">
        <v>3963</v>
      </c>
      <c r="Q296" s="234"/>
    </row>
    <row r="297" spans="1:256" ht="24" customHeight="1">
      <c r="A297" s="194"/>
      <c r="C297" s="296" t="s">
        <v>2764</v>
      </c>
      <c r="D297" s="297" t="s">
        <v>1766</v>
      </c>
      <c r="E297" s="181"/>
      <c r="F297" s="181"/>
      <c r="G297" s="1481" t="s">
        <v>2167</v>
      </c>
      <c r="H297" s="1482"/>
      <c r="I297" s="1482"/>
      <c r="J297" s="1482"/>
      <c r="K297" s="1482"/>
      <c r="L297" s="1482"/>
      <c r="M297" s="1482"/>
      <c r="N297" s="1483"/>
      <c r="O297" s="301" t="s">
        <v>2764</v>
      </c>
      <c r="P297" s="811" t="s">
        <v>3963</v>
      </c>
      <c r="Q297" s="353"/>
    </row>
    <row r="298" spans="1:256" ht="12.6" customHeight="1">
      <c r="A298" s="194"/>
      <c r="C298" s="296" t="s">
        <v>2765</v>
      </c>
      <c r="D298" s="297" t="s">
        <v>1768</v>
      </c>
      <c r="E298" s="181"/>
      <c r="F298" s="181"/>
      <c r="G298" s="1389" t="s">
        <v>1772</v>
      </c>
      <c r="H298" s="1123"/>
      <c r="I298" s="1123"/>
      <c r="J298" s="1123"/>
      <c r="K298" s="1123"/>
      <c r="L298" s="1123"/>
      <c r="M298" s="1123"/>
      <c r="N298" s="1124"/>
      <c r="O298" s="301" t="s">
        <v>2765</v>
      </c>
      <c r="P298" s="799" t="s">
        <v>3963</v>
      </c>
      <c r="Q298" s="354"/>
    </row>
    <row r="299" spans="1:256" ht="12.6" customHeight="1">
      <c r="A299" s="194"/>
      <c r="C299" s="296"/>
      <c r="D299" s="298"/>
      <c r="E299" s="181"/>
      <c r="F299" s="181"/>
      <c r="G299" s="1478" t="s">
        <v>2780</v>
      </c>
      <c r="H299" s="1479"/>
      <c r="I299" s="1479"/>
      <c r="J299" s="1479"/>
      <c r="K299" s="1479"/>
      <c r="L299" s="1479"/>
      <c r="M299" s="1479"/>
      <c r="N299" s="1480"/>
      <c r="O299" s="301"/>
      <c r="P299" s="800" t="s">
        <v>3963</v>
      </c>
      <c r="Q299" s="355"/>
    </row>
    <row r="300" spans="1:256" ht="24" customHeight="1">
      <c r="A300" s="194"/>
      <c r="C300" s="296" t="s">
        <v>2766</v>
      </c>
      <c r="D300" s="1452" t="s">
        <v>1767</v>
      </c>
      <c r="E300" s="1404"/>
      <c r="F300" s="916"/>
      <c r="G300" s="1395" t="s">
        <v>3370</v>
      </c>
      <c r="H300" s="1485"/>
      <c r="I300" s="1485"/>
      <c r="J300" s="1485"/>
      <c r="K300" s="1485"/>
      <c r="L300" s="1485"/>
      <c r="M300" s="1485"/>
      <c r="N300" s="1486"/>
      <c r="O300" s="301" t="s">
        <v>2766</v>
      </c>
      <c r="P300" s="811" t="s">
        <v>3963</v>
      </c>
      <c r="Q300" s="353"/>
    </row>
    <row r="301" spans="1:256" ht="12.6" customHeight="1">
      <c r="A301" s="194"/>
      <c r="C301" s="296" t="s">
        <v>3571</v>
      </c>
      <c r="D301" s="1452" t="s">
        <v>1769</v>
      </c>
      <c r="E301" s="1452"/>
      <c r="F301" s="1453"/>
      <c r="G301" s="1454" t="s">
        <v>3215</v>
      </c>
      <c r="H301" s="1455"/>
      <c r="I301" s="1455"/>
      <c r="J301" s="1455"/>
      <c r="K301" s="1455"/>
      <c r="L301" s="1455"/>
      <c r="M301" s="1455"/>
      <c r="N301" s="1456"/>
      <c r="O301" s="301" t="s">
        <v>3571</v>
      </c>
      <c r="P301" s="812" t="s">
        <v>3963</v>
      </c>
      <c r="Q301" s="356"/>
    </row>
    <row r="302" spans="1:256" ht="12.6" customHeight="1">
      <c r="A302" s="194"/>
      <c r="C302" s="296"/>
      <c r="D302" s="1452"/>
      <c r="E302" s="1452"/>
      <c r="F302" s="1453"/>
      <c r="G302" s="1383" t="s">
        <v>2277</v>
      </c>
      <c r="H302" s="1161"/>
      <c r="I302" s="1161"/>
      <c r="J302" s="1161"/>
      <c r="K302" s="1161"/>
      <c r="L302" s="1161"/>
      <c r="M302" s="1161"/>
      <c r="N302" s="1162"/>
      <c r="P302" s="813" t="s">
        <v>3963</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2921</v>
      </c>
      <c r="D304" s="191"/>
      <c r="E304" s="191"/>
      <c r="F304" s="191"/>
      <c r="G304" s="191"/>
      <c r="H304" s="50"/>
      <c r="I304" s="179"/>
      <c r="J304" s="179"/>
      <c r="K304" s="179"/>
      <c r="L304" s="738"/>
      <c r="M304" s="738"/>
      <c r="N304" s="738"/>
      <c r="O304" s="738"/>
      <c r="P304" s="738"/>
      <c r="Q304" s="63"/>
    </row>
    <row r="305" spans="1:31" ht="11.4" customHeight="1">
      <c r="A305" s="1389"/>
      <c r="B305" s="1390"/>
      <c r="C305" s="1390"/>
      <c r="D305" s="1390"/>
      <c r="E305" s="1390"/>
      <c r="F305" s="1390"/>
      <c r="G305" s="1390"/>
      <c r="H305" s="1390"/>
      <c r="I305" s="1390"/>
      <c r="J305" s="1390"/>
      <c r="K305" s="1390"/>
      <c r="L305" s="1390"/>
      <c r="M305" s="1390"/>
      <c r="N305" s="1390"/>
      <c r="O305" s="1390"/>
      <c r="P305" s="1390"/>
      <c r="Q305" s="1391"/>
      <c r="R305" s="1441" t="s">
        <v>1932</v>
      </c>
      <c r="S305" s="1441"/>
      <c r="U305" s="185"/>
      <c r="V305" s="185"/>
      <c r="W305" s="185"/>
      <c r="X305" s="185"/>
      <c r="Y305" s="185"/>
      <c r="Z305" s="185"/>
      <c r="AA305" s="185"/>
      <c r="AB305" s="185"/>
      <c r="AC305" s="185"/>
      <c r="AD305" s="185"/>
      <c r="AE305" s="186"/>
    </row>
    <row r="306" spans="1:31" ht="11.4" customHeight="1">
      <c r="A306" s="1383"/>
      <c r="B306" s="1384"/>
      <c r="C306" s="1384"/>
      <c r="D306" s="1384"/>
      <c r="E306" s="1384"/>
      <c r="F306" s="1384"/>
      <c r="G306" s="1384"/>
      <c r="H306" s="1384"/>
      <c r="I306" s="1384"/>
      <c r="J306" s="1384"/>
      <c r="K306" s="1384"/>
      <c r="L306" s="1384"/>
      <c r="M306" s="1384"/>
      <c r="N306" s="1384"/>
      <c r="O306" s="1384"/>
      <c r="P306" s="1384"/>
      <c r="Q306" s="1385"/>
      <c r="R306" s="1441"/>
      <c r="S306" s="1441"/>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 customHeight="1">
      <c r="A308" s="1380"/>
      <c r="B308" s="1381"/>
      <c r="C308" s="1381"/>
      <c r="D308" s="1381"/>
      <c r="E308" s="1381"/>
      <c r="F308" s="1381"/>
      <c r="G308" s="1381"/>
      <c r="H308" s="1381"/>
      <c r="I308" s="1381"/>
      <c r="J308" s="1381"/>
      <c r="K308" s="1381"/>
      <c r="L308" s="1381"/>
      <c r="M308" s="1381"/>
      <c r="N308" s="1381"/>
      <c r="O308" s="1381"/>
      <c r="P308" s="1381"/>
      <c r="Q308" s="1382"/>
    </row>
    <row r="309" spans="1:31" ht="11.4" customHeight="1">
      <c r="A309" s="1398"/>
      <c r="B309" s="1399"/>
      <c r="C309" s="1399"/>
      <c r="D309" s="1399"/>
      <c r="E309" s="1399"/>
      <c r="F309" s="1399"/>
      <c r="G309" s="1399"/>
      <c r="H309" s="1399"/>
      <c r="I309" s="1399"/>
      <c r="J309" s="1399"/>
      <c r="K309" s="1399"/>
      <c r="L309" s="1399"/>
      <c r="M309" s="1399"/>
      <c r="N309" s="1399"/>
      <c r="O309" s="1399"/>
      <c r="P309" s="1399"/>
      <c r="Q309" s="1400"/>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5" customHeight="1">
      <c r="A311" s="742">
        <v>19</v>
      </c>
      <c r="B311" s="742" t="s">
        <v>3122</v>
      </c>
      <c r="C311" s="742"/>
      <c r="D311" s="740"/>
      <c r="E311" s="740"/>
      <c r="F311" s="740"/>
      <c r="G311" s="740"/>
      <c r="H311" s="740"/>
      <c r="O311" s="180" t="s">
        <v>2923</v>
      </c>
      <c r="P311" s="1386"/>
      <c r="Q311" s="1387"/>
    </row>
    <row r="312" spans="1:31" ht="3" customHeight="1"/>
    <row r="313" spans="1:31" ht="11.4" customHeight="1">
      <c r="B313" s="195" t="s">
        <v>3514</v>
      </c>
      <c r="P313" s="795" t="s">
        <v>3963</v>
      </c>
      <c r="Q313" s="234"/>
    </row>
    <row r="314" spans="1:31" ht="11.4" customHeight="1">
      <c r="B314" s="195" t="s">
        <v>3515</v>
      </c>
      <c r="P314" s="795" t="s">
        <v>3965</v>
      </c>
      <c r="Q314" s="234"/>
    </row>
    <row r="315" spans="1:31" ht="11.4" customHeight="1">
      <c r="B315" s="195" t="s">
        <v>924</v>
      </c>
      <c r="L315" s="1457" t="s">
        <v>3996</v>
      </c>
      <c r="M315" s="1458"/>
      <c r="N315" s="1458"/>
      <c r="O315" s="1459"/>
      <c r="P315" s="795" t="s">
        <v>3963</v>
      </c>
      <c r="Q315" s="234"/>
    </row>
    <row r="316" spans="1:31" ht="11.4" customHeight="1">
      <c r="B316" s="690" t="s">
        <v>3516</v>
      </c>
      <c r="L316" s="1487"/>
      <c r="M316" s="1488"/>
      <c r="N316" s="1488"/>
      <c r="O316" s="1489"/>
    </row>
    <row r="317" spans="1:31" ht="4.2" customHeight="1">
      <c r="A317" s="189"/>
      <c r="C317" s="190"/>
    </row>
    <row r="318" spans="1:31" ht="11.25" customHeight="1">
      <c r="B318" s="191" t="s">
        <v>2921</v>
      </c>
      <c r="D318" s="191"/>
      <c r="E318" s="191"/>
      <c r="F318" s="191"/>
      <c r="G318" s="191"/>
      <c r="H318" s="50"/>
      <c r="I318" s="179"/>
      <c r="J318" s="179"/>
      <c r="K318" s="179"/>
      <c r="L318" s="738"/>
      <c r="M318" s="738"/>
      <c r="N318" s="738"/>
      <c r="O318" s="738"/>
      <c r="P318" s="738"/>
      <c r="Q318" s="63"/>
    </row>
    <row r="319" spans="1:31" ht="13.2" customHeight="1">
      <c r="A319" s="1389"/>
      <c r="B319" s="1390"/>
      <c r="C319" s="1390"/>
      <c r="D319" s="1390"/>
      <c r="E319" s="1390"/>
      <c r="F319" s="1390"/>
      <c r="G319" s="1390"/>
      <c r="H319" s="1390"/>
      <c r="I319" s="1390"/>
      <c r="J319" s="1390"/>
      <c r="K319" s="1390"/>
      <c r="L319" s="1390"/>
      <c r="M319" s="1390"/>
      <c r="N319" s="1390"/>
      <c r="O319" s="1390"/>
      <c r="P319" s="1390"/>
      <c r="Q319" s="1391"/>
      <c r="R319" s="1405" t="s">
        <v>1932</v>
      </c>
      <c r="S319" s="1405"/>
      <c r="U319" s="185"/>
      <c r="V319" s="185"/>
      <c r="W319" s="185"/>
      <c r="X319" s="185"/>
      <c r="Y319" s="185"/>
      <c r="Z319" s="185"/>
      <c r="AA319" s="185"/>
      <c r="AB319" s="185"/>
      <c r="AC319" s="185"/>
      <c r="AD319" s="185"/>
      <c r="AE319" s="186"/>
    </row>
    <row r="320" spans="1:31" ht="13.2" customHeight="1">
      <c r="A320" s="1409"/>
      <c r="B320" s="1410"/>
      <c r="C320" s="1410"/>
      <c r="D320" s="1410"/>
      <c r="E320" s="1410"/>
      <c r="F320" s="1410"/>
      <c r="G320" s="1410"/>
      <c r="H320" s="1410"/>
      <c r="I320" s="1410"/>
      <c r="J320" s="1410"/>
      <c r="K320" s="1410"/>
      <c r="L320" s="1410"/>
      <c r="M320" s="1410"/>
      <c r="N320" s="1410"/>
      <c r="O320" s="1410"/>
      <c r="P320" s="1410"/>
      <c r="Q320" s="1411"/>
      <c r="R320" s="1405"/>
      <c r="S320" s="1405"/>
    </row>
    <row r="321" spans="1:31" ht="13.2" customHeight="1">
      <c r="A321" s="1383"/>
      <c r="B321" s="1384"/>
      <c r="C321" s="1384"/>
      <c r="D321" s="1384"/>
      <c r="E321" s="1384"/>
      <c r="F321" s="1384"/>
      <c r="G321" s="1384"/>
      <c r="H321" s="1384"/>
      <c r="I321" s="1384"/>
      <c r="J321" s="1384"/>
      <c r="K321" s="1384"/>
      <c r="L321" s="1384"/>
      <c r="M321" s="1384"/>
      <c r="N321" s="1384"/>
      <c r="O321" s="1384"/>
      <c r="P321" s="1384"/>
      <c r="Q321" s="1385"/>
      <c r="R321" s="1405"/>
      <c r="S321" s="1405"/>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2" customHeight="1">
      <c r="A323" s="1380"/>
      <c r="B323" s="1381"/>
      <c r="C323" s="1381"/>
      <c r="D323" s="1381"/>
      <c r="E323" s="1381"/>
      <c r="F323" s="1381"/>
      <c r="G323" s="1381"/>
      <c r="H323" s="1381"/>
      <c r="I323" s="1381"/>
      <c r="J323" s="1381"/>
      <c r="K323" s="1381"/>
      <c r="L323" s="1381"/>
      <c r="M323" s="1381"/>
      <c r="N323" s="1381"/>
      <c r="O323" s="1381"/>
      <c r="P323" s="1381"/>
      <c r="Q323" s="1382"/>
    </row>
    <row r="324" spans="1:31" ht="13.2" customHeight="1">
      <c r="A324" s="1412"/>
      <c r="B324" s="1413"/>
      <c r="C324" s="1413"/>
      <c r="D324" s="1413"/>
      <c r="E324" s="1413"/>
      <c r="F324" s="1413"/>
      <c r="G324" s="1413"/>
      <c r="H324" s="1413"/>
      <c r="I324" s="1413"/>
      <c r="J324" s="1413"/>
      <c r="K324" s="1413"/>
      <c r="L324" s="1413"/>
      <c r="M324" s="1413"/>
      <c r="N324" s="1413"/>
      <c r="O324" s="1413"/>
      <c r="P324" s="1413"/>
      <c r="Q324" s="1414"/>
    </row>
    <row r="325" spans="1:31" ht="13.2" customHeight="1">
      <c r="A325" s="1398"/>
      <c r="B325" s="1399"/>
      <c r="C325" s="1399"/>
      <c r="D325" s="1399"/>
      <c r="E325" s="1399"/>
      <c r="F325" s="1399"/>
      <c r="G325" s="1399"/>
      <c r="H325" s="1399"/>
      <c r="I325" s="1399"/>
      <c r="J325" s="1399"/>
      <c r="K325" s="1399"/>
      <c r="L325" s="1399"/>
      <c r="M325" s="1399"/>
      <c r="N325" s="1399"/>
      <c r="O325" s="1399"/>
      <c r="P325" s="1399"/>
      <c r="Q325" s="1400"/>
    </row>
    <row r="326" spans="1:31" ht="4.2" customHeight="1">
      <c r="B326" s="179"/>
      <c r="C326" s="740"/>
      <c r="D326" s="740"/>
      <c r="E326" s="740"/>
      <c r="F326" s="740"/>
      <c r="G326" s="740"/>
      <c r="H326" s="740"/>
      <c r="I326" s="740"/>
      <c r="J326" s="740"/>
      <c r="K326" s="740"/>
      <c r="L326" s="740"/>
      <c r="M326" s="740"/>
      <c r="Q326" s="63"/>
    </row>
    <row r="327" spans="1:31" ht="13.95" customHeight="1">
      <c r="A327" s="742">
        <v>20</v>
      </c>
      <c r="B327" s="5" t="s">
        <v>470</v>
      </c>
      <c r="C327" s="5"/>
      <c r="D327" s="118"/>
      <c r="E327" s="740"/>
      <c r="F327" s="740"/>
      <c r="G327" s="740"/>
      <c r="H327" s="740"/>
      <c r="I327" s="740"/>
      <c r="J327" s="740"/>
      <c r="K327" s="740"/>
      <c r="L327" s="740"/>
      <c r="M327" s="740"/>
      <c r="O327" s="180" t="s">
        <v>2923</v>
      </c>
      <c r="P327" s="1386"/>
      <c r="Q327" s="1387"/>
    </row>
    <row r="328" spans="1:31" ht="3" customHeight="1"/>
    <row r="329" spans="1:31" ht="22.2" customHeight="1">
      <c r="B329" s="192" t="s">
        <v>3060</v>
      </c>
      <c r="C329" s="1388" t="s">
        <v>2543</v>
      </c>
      <c r="D329" s="1388"/>
      <c r="E329" s="1388"/>
      <c r="F329" s="1388"/>
      <c r="G329" s="1388"/>
      <c r="H329" s="1388"/>
      <c r="I329" s="1388"/>
      <c r="J329" s="1388"/>
      <c r="K329" s="1388"/>
      <c r="L329" s="1388"/>
      <c r="M329" s="1388"/>
      <c r="N329" s="1388"/>
      <c r="O329" s="221" t="s">
        <v>3060</v>
      </c>
      <c r="P329" s="795" t="s">
        <v>3963</v>
      </c>
      <c r="Q329" s="234"/>
    </row>
    <row r="330" spans="1:31" ht="11.4" customHeight="1">
      <c r="B330" s="192" t="s">
        <v>3063</v>
      </c>
      <c r="C330" s="1388" t="s">
        <v>356</v>
      </c>
      <c r="D330" s="1388"/>
      <c r="E330" s="1388"/>
      <c r="F330" s="1388"/>
      <c r="G330" s="1388"/>
      <c r="H330" s="1388"/>
      <c r="I330" s="1388"/>
      <c r="J330" s="1388"/>
      <c r="K330" s="1388"/>
      <c r="L330" s="1388"/>
      <c r="M330" s="740"/>
      <c r="O330" s="221" t="s">
        <v>3063</v>
      </c>
      <c r="P330" s="795" t="s">
        <v>3965</v>
      </c>
      <c r="Q330" s="234"/>
    </row>
    <row r="331" spans="1:31" ht="11.4" customHeight="1">
      <c r="B331" s="192" t="s">
        <v>1238</v>
      </c>
      <c r="C331" s="197" t="s">
        <v>1965</v>
      </c>
      <c r="D331" s="197"/>
      <c r="E331" s="197"/>
      <c r="F331" s="197"/>
      <c r="G331" s="197"/>
      <c r="H331" s="197"/>
      <c r="I331" s="197"/>
      <c r="J331" s="197"/>
      <c r="K331" s="197"/>
      <c r="L331" s="197"/>
      <c r="M331" s="197"/>
      <c r="O331" s="221" t="s">
        <v>1238</v>
      </c>
      <c r="P331" s="795" t="s">
        <v>3963</v>
      </c>
      <c r="Q331" s="234"/>
    </row>
    <row r="332" spans="1:31" ht="22.2" customHeight="1">
      <c r="B332" s="192" t="s">
        <v>3212</v>
      </c>
      <c r="C332" s="1388" t="s">
        <v>1058</v>
      </c>
      <c r="D332" s="1388"/>
      <c r="E332" s="1388"/>
      <c r="F332" s="1388"/>
      <c r="G332" s="1388"/>
      <c r="H332" s="1388"/>
      <c r="I332" s="1388"/>
      <c r="J332" s="1388"/>
      <c r="K332" s="1388"/>
      <c r="L332" s="1388"/>
      <c r="M332" s="1388"/>
      <c r="N332" s="1388"/>
      <c r="O332" s="221" t="s">
        <v>3212</v>
      </c>
      <c r="P332" s="795" t="s">
        <v>3965</v>
      </c>
      <c r="Q332" s="234"/>
    </row>
    <row r="333" spans="1:31" ht="11.25" customHeight="1">
      <c r="B333" s="191" t="s">
        <v>2921</v>
      </c>
      <c r="D333" s="191"/>
      <c r="E333" s="191"/>
      <c r="F333" s="191"/>
      <c r="G333" s="191"/>
      <c r="H333" s="50"/>
      <c r="I333" s="179"/>
      <c r="J333" s="179"/>
      <c r="K333" s="179"/>
      <c r="L333" s="738"/>
      <c r="M333" s="738"/>
      <c r="N333" s="738"/>
      <c r="O333" s="738"/>
      <c r="P333" s="738"/>
      <c r="Q333" s="63"/>
    </row>
    <row r="334" spans="1:31" ht="11.4" customHeight="1">
      <c r="A334" s="1389" t="s">
        <v>3997</v>
      </c>
      <c r="B334" s="1390"/>
      <c r="C334" s="1390"/>
      <c r="D334" s="1390"/>
      <c r="E334" s="1390"/>
      <c r="F334" s="1390"/>
      <c r="G334" s="1390"/>
      <c r="H334" s="1390"/>
      <c r="I334" s="1390"/>
      <c r="J334" s="1390"/>
      <c r="K334" s="1390"/>
      <c r="L334" s="1390"/>
      <c r="M334" s="1390"/>
      <c r="N334" s="1390"/>
      <c r="O334" s="1390"/>
      <c r="P334" s="1390"/>
      <c r="Q334" s="1391"/>
      <c r="U334" s="185"/>
      <c r="V334" s="185"/>
      <c r="W334" s="185"/>
      <c r="X334" s="185"/>
      <c r="Y334" s="185"/>
      <c r="Z334" s="185"/>
      <c r="AA334" s="185"/>
      <c r="AB334" s="185"/>
      <c r="AC334" s="185"/>
      <c r="AD334" s="185"/>
      <c r="AE334" s="186"/>
    </row>
    <row r="335" spans="1:31" ht="11.4" customHeight="1">
      <c r="A335" s="1383" t="s">
        <v>3998</v>
      </c>
      <c r="B335" s="1384"/>
      <c r="C335" s="1384"/>
      <c r="D335" s="1384"/>
      <c r="E335" s="1384"/>
      <c r="F335" s="1384"/>
      <c r="G335" s="1384"/>
      <c r="H335" s="1384"/>
      <c r="I335" s="1384"/>
      <c r="J335" s="1384"/>
      <c r="K335" s="1384"/>
      <c r="L335" s="1384"/>
      <c r="M335" s="1384"/>
      <c r="N335" s="1384"/>
      <c r="O335" s="1384"/>
      <c r="P335" s="1384"/>
      <c r="Q335" s="1385"/>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 customHeight="1">
      <c r="A338" s="1380"/>
      <c r="B338" s="1381"/>
      <c r="C338" s="1381"/>
      <c r="D338" s="1381"/>
      <c r="E338" s="1381"/>
      <c r="F338" s="1381"/>
      <c r="G338" s="1381"/>
      <c r="H338" s="1381"/>
      <c r="I338" s="1381"/>
      <c r="J338" s="1381"/>
      <c r="K338" s="1381"/>
      <c r="L338" s="1381"/>
      <c r="M338" s="1381"/>
      <c r="N338" s="1381"/>
      <c r="O338" s="1381"/>
      <c r="P338" s="1381"/>
      <c r="Q338" s="1382"/>
    </row>
    <row r="339" spans="1:31" ht="11.4" customHeight="1">
      <c r="A339" s="1398"/>
      <c r="B339" s="1399"/>
      <c r="C339" s="1399"/>
      <c r="D339" s="1399"/>
      <c r="E339" s="1399"/>
      <c r="F339" s="1399"/>
      <c r="G339" s="1399"/>
      <c r="H339" s="1399"/>
      <c r="I339" s="1399"/>
      <c r="J339" s="1399"/>
      <c r="K339" s="1399"/>
      <c r="L339" s="1399"/>
      <c r="M339" s="1399"/>
      <c r="N339" s="1399"/>
      <c r="O339" s="1399"/>
      <c r="P339" s="1399"/>
      <c r="Q339" s="1400"/>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5" customHeight="1">
      <c r="A341" s="742">
        <v>21</v>
      </c>
      <c r="B341" s="5" t="s">
        <v>1553</v>
      </c>
      <c r="C341" s="5"/>
      <c r="D341" s="5"/>
      <c r="E341" s="5"/>
      <c r="F341" s="5"/>
      <c r="G341" s="5"/>
      <c r="H341" s="740"/>
      <c r="I341" s="740"/>
      <c r="J341" s="740"/>
      <c r="K341" s="740"/>
      <c r="L341" s="740"/>
      <c r="M341" s="740"/>
      <c r="O341" s="180" t="s">
        <v>2923</v>
      </c>
      <c r="P341" s="1386"/>
      <c r="Q341" s="1387"/>
    </row>
    <row r="342" spans="1:31" ht="12" customHeight="1">
      <c r="B342" s="57" t="s">
        <v>3060</v>
      </c>
      <c r="C342" s="160" t="s">
        <v>2083</v>
      </c>
      <c r="D342" s="746"/>
      <c r="E342" s="746"/>
      <c r="F342" s="746"/>
      <c r="G342" s="746"/>
      <c r="H342" s="746"/>
      <c r="I342" s="52"/>
      <c r="J342" s="62" t="s">
        <v>3060</v>
      </c>
      <c r="K342" s="1392"/>
      <c r="L342" s="1393"/>
      <c r="M342" s="1393"/>
      <c r="N342" s="1393"/>
      <c r="O342" s="1394"/>
      <c r="P342" s="795"/>
      <c r="Q342" s="234"/>
    </row>
    <row r="343" spans="1:31" ht="24" customHeight="1">
      <c r="B343" s="192" t="s">
        <v>3063</v>
      </c>
      <c r="C343" s="1362" t="s">
        <v>2907</v>
      </c>
      <c r="D343" s="1362"/>
      <c r="E343" s="1362"/>
      <c r="F343" s="1362"/>
      <c r="G343" s="1362"/>
      <c r="H343" s="1362"/>
      <c r="I343" s="1362"/>
      <c r="J343" s="1362"/>
      <c r="K343" s="1362"/>
      <c r="L343" s="1362"/>
      <c r="M343" s="1362"/>
      <c r="O343" s="221" t="s">
        <v>3063</v>
      </c>
      <c r="P343" s="811"/>
      <c r="Q343" s="234"/>
    </row>
    <row r="344" spans="1:31" ht="12" customHeight="1">
      <c r="B344" s="57" t="s">
        <v>1238</v>
      </c>
      <c r="C344" s="65" t="s">
        <v>1554</v>
      </c>
      <c r="D344" s="65"/>
      <c r="E344" s="65"/>
      <c r="F344" s="65"/>
      <c r="G344" s="65"/>
      <c r="H344" s="65"/>
      <c r="I344" s="65"/>
      <c r="J344" s="65"/>
      <c r="K344" s="65"/>
      <c r="L344" s="40"/>
      <c r="M344" s="40"/>
      <c r="O344" s="62" t="s">
        <v>1238</v>
      </c>
      <c r="P344" s="795"/>
      <c r="Q344" s="234"/>
    </row>
    <row r="345" spans="1:31" ht="12" customHeight="1">
      <c r="B345" s="57" t="s">
        <v>3212</v>
      </c>
      <c r="C345" s="65" t="s">
        <v>355</v>
      </c>
      <c r="D345" s="65"/>
      <c r="E345" s="65"/>
      <c r="F345" s="65"/>
      <c r="G345" s="65"/>
      <c r="H345" s="65"/>
      <c r="I345" s="65"/>
      <c r="J345" s="65"/>
      <c r="K345" s="65"/>
      <c r="L345" s="65"/>
      <c r="M345" s="65"/>
      <c r="O345" s="62" t="s">
        <v>3212</v>
      </c>
      <c r="P345" s="795"/>
      <c r="Q345" s="234"/>
    </row>
    <row r="346" spans="1:31" ht="22.95" customHeight="1">
      <c r="B346" s="192" t="s">
        <v>2762</v>
      </c>
      <c r="C346" s="1388" t="s">
        <v>429</v>
      </c>
      <c r="D346" s="1388"/>
      <c r="E346" s="1388"/>
      <c r="F346" s="1388"/>
      <c r="G346" s="1388"/>
      <c r="H346" s="1388"/>
      <c r="I346" s="1388"/>
      <c r="J346" s="1388"/>
      <c r="K346" s="1388"/>
      <c r="L346" s="1388"/>
      <c r="M346" s="1388"/>
      <c r="N346" s="1388"/>
      <c r="O346" s="221" t="s">
        <v>2762</v>
      </c>
      <c r="P346" s="811"/>
      <c r="Q346" s="353"/>
    </row>
    <row r="347" spans="1:31" ht="12" customHeight="1">
      <c r="B347" s="57" t="s">
        <v>2763</v>
      </c>
      <c r="C347" s="65" t="s">
        <v>1985</v>
      </c>
      <c r="D347" s="65"/>
      <c r="E347" s="65"/>
      <c r="F347" s="65"/>
      <c r="G347" s="65"/>
      <c r="H347" s="65"/>
      <c r="I347" s="65"/>
      <c r="J347" s="65"/>
      <c r="K347" s="65"/>
      <c r="L347" s="65"/>
      <c r="M347" s="65"/>
      <c r="O347" s="62" t="s">
        <v>2763</v>
      </c>
      <c r="P347" s="795"/>
      <c r="Q347" s="234"/>
    </row>
    <row r="348" spans="1:31" ht="11.25" customHeight="1">
      <c r="B348" s="191" t="s">
        <v>2921</v>
      </c>
      <c r="D348" s="191"/>
      <c r="E348" s="191"/>
      <c r="F348" s="191"/>
      <c r="G348" s="191"/>
      <c r="H348" s="50"/>
      <c r="I348" s="179"/>
      <c r="J348" s="179"/>
      <c r="K348" s="179"/>
      <c r="L348" s="738"/>
      <c r="M348" s="738"/>
      <c r="N348" s="738"/>
      <c r="O348" s="738"/>
      <c r="P348" s="738"/>
      <c r="Q348" s="63"/>
    </row>
    <row r="349" spans="1:31" ht="11.4" customHeight="1">
      <c r="A349" s="1395"/>
      <c r="B349" s="1396"/>
      <c r="C349" s="1396"/>
      <c r="D349" s="1396"/>
      <c r="E349" s="1396"/>
      <c r="F349" s="1396"/>
      <c r="G349" s="1396"/>
      <c r="H349" s="1396"/>
      <c r="I349" s="1396"/>
      <c r="J349" s="1396"/>
      <c r="K349" s="1396"/>
      <c r="L349" s="1396"/>
      <c r="M349" s="1396"/>
      <c r="N349" s="1396"/>
      <c r="O349" s="1396"/>
      <c r="P349" s="1396"/>
      <c r="Q349" s="1397"/>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 customHeight="1">
      <c r="A351" s="1438"/>
      <c r="B351" s="1439"/>
      <c r="C351" s="1439"/>
      <c r="D351" s="1439"/>
      <c r="E351" s="1439"/>
      <c r="F351" s="1439"/>
      <c r="G351" s="1439"/>
      <c r="H351" s="1439"/>
      <c r="I351" s="1439"/>
      <c r="J351" s="1439"/>
      <c r="K351" s="1439"/>
      <c r="L351" s="1439"/>
      <c r="M351" s="1439"/>
      <c r="N351" s="1439"/>
      <c r="O351" s="1439"/>
      <c r="P351" s="1439"/>
      <c r="Q351" s="1440"/>
    </row>
    <row r="352" spans="1:31" ht="6" customHeight="1">
      <c r="A352" s="738"/>
      <c r="B352" s="179"/>
      <c r="C352" s="740"/>
      <c r="D352" s="740"/>
      <c r="E352" s="740"/>
      <c r="F352" s="740"/>
      <c r="G352" s="740"/>
      <c r="H352" s="740"/>
      <c r="I352" s="740"/>
      <c r="J352" s="740"/>
      <c r="K352" s="740"/>
      <c r="L352" s="740"/>
      <c r="M352" s="740"/>
      <c r="Q352" s="63"/>
    </row>
    <row r="353" spans="1:31" ht="13.95" customHeight="1">
      <c r="A353" s="742">
        <v>22</v>
      </c>
      <c r="B353" s="5" t="s">
        <v>3755</v>
      </c>
      <c r="C353" s="5"/>
      <c r="D353" s="5"/>
      <c r="E353" s="5"/>
      <c r="F353" s="5"/>
      <c r="G353" s="5"/>
      <c r="H353" s="740"/>
      <c r="I353" s="740"/>
      <c r="J353" s="740"/>
      <c r="O353" s="180" t="s">
        <v>2923</v>
      </c>
      <c r="P353" s="1386"/>
      <c r="Q353" s="1387"/>
    </row>
    <row r="354" spans="1:31" ht="11.4" customHeight="1">
      <c r="B354" s="57" t="s">
        <v>3060</v>
      </c>
      <c r="C354" s="160" t="s">
        <v>1657</v>
      </c>
      <c r="D354" s="746"/>
      <c r="E354" s="746"/>
      <c r="F354" s="746"/>
      <c r="G354" s="746"/>
      <c r="H354" s="746"/>
      <c r="I354" s="52"/>
      <c r="J354" s="62" t="s">
        <v>3060</v>
      </c>
      <c r="K354" s="1392"/>
      <c r="L354" s="1393"/>
      <c r="M354" s="1393"/>
      <c r="N354" s="1393"/>
      <c r="O354" s="1394"/>
      <c r="P354" s="795"/>
      <c r="Q354" s="234"/>
    </row>
    <row r="355" spans="1:31" ht="11.4" customHeight="1">
      <c r="B355" s="57" t="s">
        <v>3063</v>
      </c>
      <c r="C355" s="65" t="s">
        <v>2767</v>
      </c>
      <c r="D355" s="65"/>
      <c r="E355" s="65"/>
      <c r="F355" s="65"/>
      <c r="G355" s="65"/>
      <c r="H355" s="65"/>
      <c r="I355" s="65"/>
      <c r="J355" s="65"/>
      <c r="K355" s="65"/>
      <c r="L355" s="40"/>
      <c r="M355" s="40"/>
      <c r="O355" s="62" t="s">
        <v>3063</v>
      </c>
      <c r="P355" s="795"/>
      <c r="Q355" s="234"/>
    </row>
    <row r="356" spans="1:31" ht="11.4" customHeight="1">
      <c r="B356" s="57" t="s">
        <v>1238</v>
      </c>
      <c r="C356" s="65" t="s">
        <v>2147</v>
      </c>
      <c r="D356" s="65"/>
      <c r="E356" s="65"/>
      <c r="F356" s="65"/>
      <c r="G356" s="65"/>
      <c r="H356" s="65"/>
      <c r="I356" s="65"/>
      <c r="J356" s="65"/>
      <c r="K356" s="65"/>
      <c r="L356" s="65"/>
      <c r="M356" s="65"/>
      <c r="O356" s="62" t="s">
        <v>1238</v>
      </c>
      <c r="P356" s="795"/>
      <c r="Q356" s="234"/>
    </row>
    <row r="357" spans="1:31" ht="11.4" customHeight="1">
      <c r="B357" s="57" t="s">
        <v>3212</v>
      </c>
      <c r="C357" s="65" t="s">
        <v>3090</v>
      </c>
      <c r="D357" s="65"/>
      <c r="E357" s="65"/>
      <c r="F357" s="65"/>
      <c r="G357" s="65"/>
      <c r="H357" s="65"/>
      <c r="I357" s="65"/>
      <c r="J357" s="65"/>
      <c r="K357" s="65"/>
      <c r="L357" s="65"/>
      <c r="M357" s="65"/>
      <c r="O357" s="62" t="s">
        <v>3212</v>
      </c>
      <c r="P357" s="795"/>
      <c r="Q357" s="234"/>
    </row>
    <row r="358" spans="1:31" ht="22.2" customHeight="1">
      <c r="B358" s="192" t="s">
        <v>2762</v>
      </c>
      <c r="C358" s="1388" t="s">
        <v>635</v>
      </c>
      <c r="D358" s="1388"/>
      <c r="E358" s="1388"/>
      <c r="F358" s="1388"/>
      <c r="G358" s="1388"/>
      <c r="H358" s="1388"/>
      <c r="I358" s="1388"/>
      <c r="J358" s="1388"/>
      <c r="K358" s="1388"/>
      <c r="L358" s="1388"/>
      <c r="M358" s="1388"/>
      <c r="N358" s="1388"/>
      <c r="O358" s="221" t="s">
        <v>2762</v>
      </c>
      <c r="P358" s="795"/>
      <c r="Q358" s="234"/>
    </row>
    <row r="359" spans="1:31" ht="20.399999999999999" customHeight="1">
      <c r="B359" s="192" t="s">
        <v>2763</v>
      </c>
      <c r="C359" s="1362" t="s">
        <v>230</v>
      </c>
      <c r="D359" s="1362"/>
      <c r="E359" s="1362"/>
      <c r="F359" s="1362"/>
      <c r="G359" s="1362"/>
      <c r="H359" s="1362"/>
      <c r="I359" s="1362"/>
      <c r="J359" s="1362"/>
      <c r="K359" s="1362"/>
      <c r="L359" s="1362"/>
      <c r="M359" s="1362"/>
      <c r="N359" s="1362"/>
      <c r="O359" s="221" t="s">
        <v>2763</v>
      </c>
      <c r="P359" s="811"/>
      <c r="Q359" s="234"/>
    </row>
    <row r="360" spans="1:31" ht="11.4" customHeight="1">
      <c r="B360" s="57" t="s">
        <v>3020</v>
      </c>
      <c r="C360" s="40" t="s">
        <v>851</v>
      </c>
      <c r="D360" s="204"/>
      <c r="E360" s="204"/>
      <c r="F360" s="204"/>
      <c r="G360" s="204"/>
      <c r="H360" s="204"/>
      <c r="I360" s="204"/>
      <c r="J360" s="204"/>
      <c r="K360" s="204"/>
      <c r="L360" s="204"/>
      <c r="M360" s="204"/>
      <c r="O360" s="62" t="s">
        <v>3020</v>
      </c>
      <c r="P360" s="795"/>
      <c r="Q360" s="234"/>
    </row>
    <row r="361" spans="1:31" ht="11.25" customHeight="1">
      <c r="B361" s="191" t="s">
        <v>2921</v>
      </c>
      <c r="D361" s="191"/>
      <c r="E361" s="191"/>
      <c r="F361" s="191"/>
      <c r="G361" s="191"/>
      <c r="H361" s="50"/>
      <c r="I361" s="179"/>
      <c r="J361" s="179"/>
      <c r="K361" s="179"/>
      <c r="L361" s="738"/>
      <c r="M361" s="738"/>
      <c r="N361" s="738"/>
      <c r="O361" s="738"/>
      <c r="P361" s="738"/>
      <c r="Q361" s="63"/>
    </row>
    <row r="362" spans="1:31" ht="11.4" customHeight="1">
      <c r="A362" s="1395"/>
      <c r="B362" s="1396"/>
      <c r="C362" s="1396"/>
      <c r="D362" s="1396"/>
      <c r="E362" s="1396"/>
      <c r="F362" s="1396"/>
      <c r="G362" s="1396"/>
      <c r="H362" s="1396"/>
      <c r="I362" s="1396"/>
      <c r="J362" s="1396"/>
      <c r="K362" s="1396"/>
      <c r="L362" s="1396"/>
      <c r="M362" s="1396"/>
      <c r="N362" s="1396"/>
      <c r="O362" s="1396"/>
      <c r="P362" s="1396"/>
      <c r="Q362" s="1397"/>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 customHeight="1">
      <c r="A364" s="1438"/>
      <c r="B364" s="1439"/>
      <c r="C364" s="1439"/>
      <c r="D364" s="1439"/>
      <c r="E364" s="1439"/>
      <c r="F364" s="1439"/>
      <c r="G364" s="1439"/>
      <c r="H364" s="1439"/>
      <c r="I364" s="1439"/>
      <c r="J364" s="1439"/>
      <c r="K364" s="1439"/>
      <c r="L364" s="1439"/>
      <c r="M364" s="1439"/>
      <c r="N364" s="1439"/>
      <c r="O364" s="1439"/>
      <c r="P364" s="1439"/>
      <c r="Q364" s="1440"/>
    </row>
    <row r="365" spans="1:31" ht="3.6" customHeight="1">
      <c r="A365" s="738"/>
      <c r="B365" s="179"/>
      <c r="C365" s="740"/>
      <c r="D365" s="740"/>
      <c r="E365" s="740"/>
      <c r="F365" s="740"/>
      <c r="G365" s="740"/>
      <c r="H365" s="740"/>
      <c r="I365" s="740"/>
      <c r="J365" s="740"/>
      <c r="K365" s="740"/>
      <c r="L365" s="740"/>
      <c r="M365" s="740"/>
      <c r="Q365" s="63"/>
    </row>
    <row r="366" spans="1:31" ht="13.95" customHeight="1">
      <c r="A366" s="742">
        <v>23</v>
      </c>
      <c r="B366" s="5" t="s">
        <v>1082</v>
      </c>
      <c r="C366" s="5"/>
      <c r="D366" s="118"/>
      <c r="E366" s="740"/>
      <c r="F366" s="740"/>
      <c r="G366" s="740"/>
      <c r="H366" s="740"/>
      <c r="I366" s="740"/>
      <c r="J366" s="740"/>
      <c r="K366" s="740"/>
      <c r="L366" s="740"/>
      <c r="M366" s="740"/>
      <c r="O366" s="180" t="s">
        <v>2923</v>
      </c>
      <c r="P366" s="1386"/>
      <c r="Q366" s="1387"/>
    </row>
    <row r="367" spans="1:31" s="2" customFormat="1" ht="23.4" customHeight="1">
      <c r="B367" s="192" t="s">
        <v>3060</v>
      </c>
      <c r="C367" s="1388" t="s">
        <v>201</v>
      </c>
      <c r="D367" s="1388"/>
      <c r="E367" s="1388"/>
      <c r="F367" s="1388"/>
      <c r="G367" s="1388"/>
      <c r="H367" s="1388"/>
      <c r="I367" s="1388"/>
      <c r="J367" s="1388"/>
      <c r="K367" s="1388"/>
      <c r="L367" s="1388"/>
      <c r="M367" s="221" t="s">
        <v>3060</v>
      </c>
      <c r="N367" s="1425"/>
      <c r="O367" s="1426"/>
      <c r="P367" s="1435" t="s">
        <v>2800</v>
      </c>
      <c r="Q367" s="1436"/>
    </row>
    <row r="368" spans="1:31" s="2" customFormat="1" ht="12" customHeight="1">
      <c r="B368" s="57" t="s">
        <v>3063</v>
      </c>
      <c r="C368" s="157" t="s">
        <v>2</v>
      </c>
      <c r="D368" s="204"/>
      <c r="E368" s="204"/>
      <c r="G368" s="62" t="s">
        <v>3063</v>
      </c>
      <c r="H368" s="1427"/>
      <c r="I368" s="1428"/>
      <c r="J368" s="1428"/>
      <c r="K368" s="1428"/>
      <c r="L368" s="1428"/>
      <c r="M368" s="1428"/>
      <c r="N368" s="1428"/>
      <c r="O368" s="1429"/>
      <c r="P368" s="795"/>
      <c r="Q368" s="234"/>
    </row>
    <row r="369" spans="1:31" s="2" customFormat="1" ht="12" customHeight="1">
      <c r="B369" s="57" t="s">
        <v>1238</v>
      </c>
      <c r="C369" s="40" t="s">
        <v>2125</v>
      </c>
      <c r="D369" s="12"/>
      <c r="E369" s="12"/>
      <c r="F369" s="12"/>
      <c r="G369" s="8"/>
      <c r="H369" s="8"/>
      <c r="I369" s="40"/>
      <c r="K369" s="8"/>
      <c r="L369" s="8"/>
      <c r="M369" s="8"/>
      <c r="O369" s="62" t="s">
        <v>1238</v>
      </c>
      <c r="P369" s="795"/>
      <c r="Q369" s="234"/>
    </row>
    <row r="370" spans="1:31" ht="11.25" customHeight="1">
      <c r="B370" s="191" t="s">
        <v>2921</v>
      </c>
      <c r="D370" s="191"/>
      <c r="E370" s="191"/>
      <c r="F370" s="191"/>
      <c r="G370" s="191"/>
      <c r="H370" s="50"/>
      <c r="I370" s="179"/>
      <c r="J370" s="179"/>
      <c r="K370" s="179"/>
      <c r="L370" s="738"/>
      <c r="M370" s="738"/>
      <c r="N370" s="738"/>
      <c r="O370" s="738"/>
      <c r="P370" s="738"/>
      <c r="Q370" s="63"/>
    </row>
    <row r="371" spans="1:31" ht="11.4" customHeight="1">
      <c r="A371" s="1389" t="s">
        <v>4028</v>
      </c>
      <c r="B371" s="1390"/>
      <c r="C371" s="1390"/>
      <c r="D371" s="1390"/>
      <c r="E371" s="1390"/>
      <c r="F371" s="1390"/>
      <c r="G371" s="1390"/>
      <c r="H371" s="1390"/>
      <c r="I371" s="1390"/>
      <c r="J371" s="1390"/>
      <c r="K371" s="1390"/>
      <c r="L371" s="1390"/>
      <c r="M371" s="1390"/>
      <c r="N371" s="1390"/>
      <c r="O371" s="1390"/>
      <c r="P371" s="1390"/>
      <c r="Q371" s="1391"/>
      <c r="R371" s="1405" t="s">
        <v>1932</v>
      </c>
      <c r="S371" s="1405"/>
      <c r="U371" s="185"/>
      <c r="V371" s="185"/>
      <c r="W371" s="185"/>
      <c r="X371" s="185"/>
      <c r="Y371" s="185"/>
      <c r="Z371" s="185"/>
      <c r="AA371" s="185"/>
      <c r="AB371" s="185"/>
      <c r="AC371" s="185"/>
      <c r="AD371" s="185"/>
      <c r="AE371" s="186"/>
    </row>
    <row r="372" spans="1:31" ht="11.4" customHeight="1">
      <c r="A372" s="1383"/>
      <c r="B372" s="1384"/>
      <c r="C372" s="1384"/>
      <c r="D372" s="1384"/>
      <c r="E372" s="1384"/>
      <c r="F372" s="1384"/>
      <c r="G372" s="1384"/>
      <c r="H372" s="1384"/>
      <c r="I372" s="1384"/>
      <c r="J372" s="1384"/>
      <c r="K372" s="1384"/>
      <c r="L372" s="1384"/>
      <c r="M372" s="1384"/>
      <c r="N372" s="1384"/>
      <c r="O372" s="1384"/>
      <c r="P372" s="1384"/>
      <c r="Q372" s="1385"/>
      <c r="R372" s="1405"/>
      <c r="S372" s="1405"/>
    </row>
    <row r="373" spans="1:31" s="31" customFormat="1" ht="3" customHeight="1">
      <c r="C373" s="134"/>
      <c r="D373" s="134"/>
      <c r="R373" s="1405"/>
      <c r="S373" s="1405"/>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 customHeight="1">
      <c r="A375" s="1380"/>
      <c r="B375" s="1381"/>
      <c r="C375" s="1381"/>
      <c r="D375" s="1381"/>
      <c r="E375" s="1381"/>
      <c r="F375" s="1381"/>
      <c r="G375" s="1381"/>
      <c r="H375" s="1381"/>
      <c r="I375" s="1381"/>
      <c r="J375" s="1381"/>
      <c r="K375" s="1381"/>
      <c r="L375" s="1381"/>
      <c r="M375" s="1381"/>
      <c r="N375" s="1381"/>
      <c r="O375" s="1381"/>
      <c r="P375" s="1381"/>
      <c r="Q375" s="1382"/>
    </row>
    <row r="376" spans="1:31" ht="11.4" customHeight="1">
      <c r="A376" s="1398"/>
      <c r="B376" s="1399"/>
      <c r="C376" s="1399"/>
      <c r="D376" s="1399"/>
      <c r="E376" s="1399"/>
      <c r="F376" s="1399"/>
      <c r="G376" s="1399"/>
      <c r="H376" s="1399"/>
      <c r="I376" s="1399"/>
      <c r="J376" s="1399"/>
      <c r="K376" s="1399"/>
      <c r="L376" s="1399"/>
      <c r="M376" s="1399"/>
      <c r="N376" s="1399"/>
      <c r="O376" s="1399"/>
      <c r="P376" s="1399"/>
      <c r="Q376" s="1400"/>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5" customHeight="1">
      <c r="A378" s="742">
        <v>24</v>
      </c>
      <c r="B378" s="5" t="s">
        <v>2529</v>
      </c>
      <c r="C378" s="5"/>
      <c r="D378" s="5"/>
      <c r="E378" s="740"/>
      <c r="F378" s="190" t="s">
        <v>1057</v>
      </c>
      <c r="G378" s="740"/>
      <c r="H378" s="740"/>
      <c r="I378" s="740"/>
      <c r="J378" s="740"/>
      <c r="K378" s="740"/>
      <c r="L378" s="740"/>
      <c r="M378" s="740"/>
      <c r="O378" s="180" t="s">
        <v>2923</v>
      </c>
      <c r="P378" s="1386"/>
      <c r="Q378" s="1434"/>
    </row>
    <row r="379" spans="1:31" ht="12" customHeight="1">
      <c r="A379" s="194"/>
      <c r="B379" s="57" t="s">
        <v>3060</v>
      </c>
      <c r="C379" s="65" t="s">
        <v>2126</v>
      </c>
      <c r="D379" s="743"/>
      <c r="E379" s="743"/>
      <c r="H379" s="190"/>
      <c r="O379" s="62" t="s">
        <v>3060</v>
      </c>
      <c r="P379" s="795"/>
      <c r="Q379" s="234"/>
    </row>
    <row r="380" spans="1:31" ht="12" customHeight="1">
      <c r="A380" s="194"/>
      <c r="B380" s="57" t="s">
        <v>3063</v>
      </c>
      <c r="C380" s="65" t="s">
        <v>1241</v>
      </c>
      <c r="D380" s="743"/>
      <c r="E380" s="743"/>
      <c r="O380" s="62" t="s">
        <v>3063</v>
      </c>
      <c r="P380" s="795"/>
      <c r="Q380" s="234"/>
    </row>
    <row r="381" spans="1:31" ht="12" customHeight="1">
      <c r="A381" s="194"/>
      <c r="B381" s="57" t="s">
        <v>1238</v>
      </c>
      <c r="C381" s="65" t="s">
        <v>1242</v>
      </c>
      <c r="D381" s="743"/>
      <c r="E381" s="743"/>
      <c r="O381" s="62" t="s">
        <v>1238</v>
      </c>
      <c r="P381" s="795"/>
      <c r="Q381" s="234"/>
    </row>
    <row r="382" spans="1:31" ht="12" customHeight="1">
      <c r="A382" s="194"/>
      <c r="B382" s="57" t="s">
        <v>3212</v>
      </c>
      <c r="C382" s="65" t="s">
        <v>877</v>
      </c>
      <c r="E382" s="190"/>
      <c r="O382" s="62" t="s">
        <v>3212</v>
      </c>
      <c r="P382" s="795"/>
      <c r="Q382" s="234"/>
    </row>
    <row r="383" spans="1:31" ht="12" customHeight="1">
      <c r="B383" s="57" t="s">
        <v>2762</v>
      </c>
      <c r="C383" s="65" t="s">
        <v>3175</v>
      </c>
      <c r="E383" s="190"/>
      <c r="G383" s="62" t="s">
        <v>2762</v>
      </c>
      <c r="H383" s="1427"/>
      <c r="I383" s="1428"/>
      <c r="J383" s="1428"/>
      <c r="K383" s="1428"/>
      <c r="L383" s="1428"/>
      <c r="M383" s="1428"/>
      <c r="N383" s="1428"/>
      <c r="O383" s="1429"/>
      <c r="P383" s="795"/>
      <c r="Q383" s="234"/>
    </row>
    <row r="384" spans="1:31" ht="11.25" customHeight="1">
      <c r="B384" s="191" t="s">
        <v>2921</v>
      </c>
      <c r="D384" s="191"/>
      <c r="E384" s="191"/>
      <c r="F384" s="191"/>
      <c r="G384" s="191"/>
      <c r="H384" s="50"/>
      <c r="I384" s="179"/>
      <c r="J384" s="179"/>
      <c r="K384" s="179"/>
      <c r="L384" s="738"/>
      <c r="M384" s="738"/>
      <c r="N384" s="738"/>
      <c r="O384" s="738"/>
      <c r="P384" s="738"/>
      <c r="Q384" s="63"/>
    </row>
    <row r="385" spans="1:31" ht="11.4" customHeight="1">
      <c r="A385" s="1395"/>
      <c r="B385" s="1396"/>
      <c r="C385" s="1396"/>
      <c r="D385" s="1396"/>
      <c r="E385" s="1396"/>
      <c r="F385" s="1396"/>
      <c r="G385" s="1396"/>
      <c r="H385" s="1396"/>
      <c r="I385" s="1396"/>
      <c r="J385" s="1396"/>
      <c r="K385" s="1396"/>
      <c r="L385" s="1396"/>
      <c r="M385" s="1396"/>
      <c r="N385" s="1396"/>
      <c r="O385" s="1396"/>
      <c r="P385" s="1396"/>
      <c r="Q385" s="1397"/>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 customHeight="1">
      <c r="A387" s="1438"/>
      <c r="B387" s="1439"/>
      <c r="C387" s="1439"/>
      <c r="D387" s="1439"/>
      <c r="E387" s="1439"/>
      <c r="F387" s="1439"/>
      <c r="G387" s="1439"/>
      <c r="H387" s="1439"/>
      <c r="I387" s="1439"/>
      <c r="J387" s="1439"/>
      <c r="K387" s="1439"/>
      <c r="L387" s="1439"/>
      <c r="M387" s="1439"/>
      <c r="N387" s="1439"/>
      <c r="O387" s="1439"/>
      <c r="P387" s="1439"/>
      <c r="Q387" s="144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5" customHeight="1">
      <c r="A389" s="742">
        <v>25</v>
      </c>
      <c r="B389" s="1437" t="s">
        <v>3756</v>
      </c>
      <c r="C389" s="1437"/>
      <c r="D389" s="1437"/>
      <c r="E389" s="1437"/>
      <c r="F389" s="1437"/>
      <c r="G389" s="1437"/>
      <c r="H389" s="740"/>
      <c r="I389" s="740"/>
      <c r="J389" s="740"/>
      <c r="K389" s="740"/>
      <c r="L389" s="740"/>
      <c r="M389" s="740"/>
      <c r="O389" s="180" t="s">
        <v>2923</v>
      </c>
      <c r="P389" s="1386"/>
      <c r="Q389" s="1434"/>
    </row>
    <row r="390" spans="1:31" ht="23.4" customHeight="1">
      <c r="A390" s="189"/>
      <c r="B390" s="192" t="s">
        <v>3060</v>
      </c>
      <c r="C390" s="1388" t="s">
        <v>907</v>
      </c>
      <c r="D390" s="1388"/>
      <c r="E390" s="1388"/>
      <c r="F390" s="1388"/>
      <c r="G390" s="1388"/>
      <c r="H390" s="1388"/>
      <c r="I390" s="1388"/>
      <c r="J390" s="1388"/>
      <c r="K390" s="1388"/>
      <c r="L390" s="1388"/>
      <c r="M390" s="1388"/>
      <c r="N390" s="1388"/>
      <c r="O390" s="221" t="s">
        <v>3060</v>
      </c>
      <c r="P390" s="795" t="s">
        <v>3982</v>
      </c>
      <c r="Q390" s="234"/>
    </row>
    <row r="391" spans="1:31" ht="12" customHeight="1">
      <c r="A391" s="189"/>
      <c r="B391" s="57" t="s">
        <v>3063</v>
      </c>
      <c r="C391" s="197" t="s">
        <v>852</v>
      </c>
      <c r="D391" s="740"/>
      <c r="E391" s="740"/>
      <c r="F391" s="740"/>
      <c r="G391" s="740"/>
      <c r="H391" s="740"/>
      <c r="I391" s="740"/>
      <c r="J391" s="740"/>
      <c r="K391" s="740"/>
      <c r="L391" s="740"/>
      <c r="M391" s="740"/>
      <c r="O391" s="62" t="s">
        <v>3063</v>
      </c>
      <c r="P391" s="795" t="s">
        <v>3963</v>
      </c>
      <c r="Q391" s="234"/>
    </row>
    <row r="392" spans="1:31" ht="11.25" customHeight="1">
      <c r="B392" s="131" t="s">
        <v>2921</v>
      </c>
      <c r="D392" s="131"/>
      <c r="E392" s="131"/>
      <c r="F392" s="131"/>
      <c r="G392" s="131"/>
      <c r="H392" s="50"/>
      <c r="I392" s="179"/>
      <c r="J392" s="179"/>
      <c r="K392" s="187" t="s">
        <v>2922</v>
      </c>
      <c r="L392" s="738"/>
      <c r="M392" s="738"/>
      <c r="N392" s="738"/>
      <c r="O392" s="237"/>
      <c r="P392" s="738"/>
      <c r="Q392" s="63"/>
    </row>
    <row r="393" spans="1:31" ht="11.4" customHeight="1">
      <c r="A393" s="1395"/>
      <c r="B393" s="1396"/>
      <c r="C393" s="1396"/>
      <c r="D393" s="1396"/>
      <c r="E393" s="1396"/>
      <c r="F393" s="1396"/>
      <c r="G393" s="1396"/>
      <c r="H393" s="1396"/>
      <c r="I393" s="1396"/>
      <c r="J393" s="1397"/>
      <c r="K393" s="1438"/>
      <c r="L393" s="1439"/>
      <c r="M393" s="1439"/>
      <c r="N393" s="1439"/>
      <c r="O393" s="1439"/>
      <c r="P393" s="1439"/>
      <c r="Q393" s="144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5" customHeight="1">
      <c r="A395" s="742">
        <v>26</v>
      </c>
      <c r="B395" s="1437" t="s">
        <v>2004</v>
      </c>
      <c r="C395" s="1437"/>
      <c r="D395" s="1437"/>
      <c r="E395" s="1437"/>
      <c r="F395" s="1437"/>
      <c r="G395" s="1437"/>
      <c r="H395" s="740"/>
      <c r="I395" s="740"/>
      <c r="J395" s="740"/>
      <c r="K395" s="740"/>
      <c r="L395" s="740"/>
      <c r="M395" s="740"/>
      <c r="O395" s="180" t="s">
        <v>2923</v>
      </c>
      <c r="P395" s="1386"/>
      <c r="Q395" s="1434"/>
    </row>
    <row r="396" spans="1:31" ht="12" customHeight="1">
      <c r="A396" s="52"/>
      <c r="B396" s="57" t="s">
        <v>3060</v>
      </c>
      <c r="C396" s="49" t="s">
        <v>1243</v>
      </c>
      <c r="D396" s="52"/>
      <c r="E396" s="52"/>
      <c r="F396" s="52"/>
      <c r="G396" s="52"/>
      <c r="H396" s="52"/>
      <c r="I396" s="52"/>
      <c r="J396" s="52"/>
      <c r="K396" s="52"/>
      <c r="L396" s="52"/>
      <c r="M396" s="52"/>
      <c r="N396" s="52"/>
      <c r="O396" s="62" t="s">
        <v>3060</v>
      </c>
      <c r="P396" s="795"/>
      <c r="Q396" s="234"/>
    </row>
    <row r="397" spans="1:31" ht="12" customHeight="1">
      <c r="A397" s="52"/>
      <c r="B397" s="57" t="s">
        <v>3063</v>
      </c>
      <c r="C397" s="49" t="s">
        <v>3314</v>
      </c>
      <c r="D397" s="52"/>
      <c r="E397" s="52"/>
      <c r="F397" s="52"/>
      <c r="G397" s="52"/>
      <c r="H397" s="52"/>
      <c r="I397" s="52"/>
      <c r="J397" s="52"/>
      <c r="K397" s="52"/>
      <c r="L397" s="52"/>
      <c r="M397" s="52"/>
      <c r="N397" s="52"/>
      <c r="O397" s="62" t="s">
        <v>2170</v>
      </c>
      <c r="P397" s="795"/>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2765</v>
      </c>
      <c r="P399" s="795"/>
      <c r="Q399" s="234"/>
    </row>
    <row r="400" spans="1:31" ht="12" customHeight="1">
      <c r="A400" s="52"/>
      <c r="B400" s="57" t="s">
        <v>1238</v>
      </c>
      <c r="C400" s="1362" t="s">
        <v>3313</v>
      </c>
      <c r="D400" s="1362"/>
      <c r="E400" s="1362"/>
      <c r="F400" s="1362"/>
      <c r="G400" s="1362"/>
      <c r="H400" s="1362"/>
      <c r="I400" s="1362"/>
      <c r="J400" s="1362"/>
      <c r="K400" s="1362"/>
      <c r="L400" s="1362"/>
      <c r="M400" s="1362"/>
      <c r="N400" s="1362"/>
      <c r="O400" s="62" t="s">
        <v>1238</v>
      </c>
      <c r="P400" s="795"/>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2764</v>
      </c>
      <c r="P402" s="814"/>
      <c r="Q402" s="706" t="s">
        <v>311</v>
      </c>
    </row>
    <row r="403" spans="1:31" ht="12" customHeight="1">
      <c r="A403" s="52"/>
      <c r="B403" s="57"/>
      <c r="C403" s="183" t="s">
        <v>3317</v>
      </c>
      <c r="D403" s="52"/>
      <c r="E403" s="52"/>
      <c r="F403" s="40"/>
      <c r="G403" s="40"/>
      <c r="H403" s="52"/>
      <c r="K403" s="40"/>
      <c r="L403" s="40"/>
      <c r="M403" s="40"/>
      <c r="N403" s="52"/>
      <c r="O403" s="62" t="s">
        <v>2765</v>
      </c>
      <c r="P403" s="814"/>
      <c r="Q403" s="706"/>
    </row>
    <row r="404" spans="1:31" ht="12" customHeight="1">
      <c r="A404" s="52"/>
      <c r="B404" s="57"/>
      <c r="C404" s="183" t="s">
        <v>3318</v>
      </c>
      <c r="D404" s="52"/>
      <c r="E404" s="52"/>
      <c r="F404" s="40"/>
      <c r="G404" s="40"/>
      <c r="H404" s="52"/>
      <c r="K404" s="40"/>
      <c r="L404" s="40"/>
      <c r="M404" s="40"/>
      <c r="N404" s="52"/>
      <c r="O404" s="62" t="s">
        <v>2766</v>
      </c>
      <c r="P404" s="814"/>
      <c r="Q404" s="706" t="s">
        <v>311</v>
      </c>
    </row>
    <row r="405" spans="1:31" ht="12" customHeight="1">
      <c r="A405" s="52"/>
      <c r="B405" s="57"/>
      <c r="C405" s="183" t="s">
        <v>3319</v>
      </c>
      <c r="D405" s="52"/>
      <c r="E405" s="52"/>
      <c r="F405" s="40"/>
      <c r="G405" s="40"/>
      <c r="H405" s="52"/>
      <c r="K405" s="40"/>
      <c r="L405" s="40"/>
      <c r="M405" s="40"/>
      <c r="N405" s="52"/>
      <c r="O405" s="62" t="s">
        <v>3571</v>
      </c>
      <c r="P405" s="814"/>
      <c r="Q405" s="706" t="s">
        <v>311</v>
      </c>
    </row>
    <row r="406" spans="1:31" ht="12" customHeight="1">
      <c r="A406" s="52"/>
      <c r="B406" s="57"/>
      <c r="C406" s="183" t="s">
        <v>3320</v>
      </c>
      <c r="D406" s="52"/>
      <c r="E406" s="52"/>
      <c r="F406" s="40"/>
      <c r="G406" s="40"/>
      <c r="H406" s="52"/>
      <c r="K406" s="40"/>
      <c r="L406" s="40"/>
      <c r="M406" s="40"/>
      <c r="N406" s="52"/>
      <c r="O406" s="62" t="s">
        <v>2303</v>
      </c>
      <c r="P406" s="814"/>
      <c r="Q406" s="706" t="s">
        <v>311</v>
      </c>
    </row>
    <row r="407" spans="1:31" ht="12" customHeight="1">
      <c r="A407" s="52"/>
      <c r="B407" s="57" t="s">
        <v>2762</v>
      </c>
      <c r="C407" s="40" t="s">
        <v>3614</v>
      </c>
      <c r="D407" s="40"/>
      <c r="E407" s="40"/>
      <c r="F407" s="40"/>
      <c r="G407" s="40"/>
      <c r="J407" s="52"/>
      <c r="K407" s="40"/>
      <c r="L407" s="40"/>
      <c r="M407" s="40"/>
      <c r="N407" s="52"/>
      <c r="O407" s="62" t="s">
        <v>2762</v>
      </c>
      <c r="P407" s="62"/>
      <c r="Q407" s="62"/>
    </row>
    <row r="408" spans="1:31" ht="12" customHeight="1">
      <c r="A408" s="52"/>
      <c r="B408" s="57"/>
      <c r="C408" s="815" t="s">
        <v>3321</v>
      </c>
      <c r="D408" s="40"/>
      <c r="E408" s="40"/>
      <c r="F408" s="40"/>
      <c r="G408" s="40"/>
      <c r="J408" s="52"/>
      <c r="K408" s="40"/>
      <c r="L408" s="40"/>
      <c r="M408" s="40"/>
      <c r="N408" s="52"/>
      <c r="O408" s="62" t="s">
        <v>2764</v>
      </c>
      <c r="P408" s="795"/>
      <c r="Q408" s="234"/>
    </row>
    <row r="409" spans="1:31" ht="12" customHeight="1">
      <c r="A409" s="52"/>
      <c r="B409" s="57"/>
      <c r="C409" s="815" t="s">
        <v>1826</v>
      </c>
      <c r="D409" s="40"/>
      <c r="E409" s="40"/>
      <c r="F409" s="40"/>
      <c r="G409" s="40"/>
      <c r="N409" s="52"/>
      <c r="O409" s="62" t="s">
        <v>2765</v>
      </c>
      <c r="P409" s="795"/>
      <c r="Q409" s="234"/>
    </row>
    <row r="410" spans="1:31" ht="12" customHeight="1">
      <c r="A410" s="52"/>
      <c r="C410" s="815" t="s">
        <v>1827</v>
      </c>
      <c r="D410" s="65"/>
      <c r="E410" s="65"/>
      <c r="F410" s="65"/>
      <c r="G410" s="65"/>
      <c r="J410" s="52"/>
      <c r="K410" s="65"/>
      <c r="L410" s="65"/>
      <c r="M410" s="65"/>
      <c r="N410" s="52"/>
      <c r="O410" s="62" t="s">
        <v>2766</v>
      </c>
      <c r="P410" s="795"/>
      <c r="Q410" s="234"/>
    </row>
    <row r="411" spans="1:31" ht="12" customHeight="1">
      <c r="A411" s="52"/>
      <c r="B411" s="57"/>
      <c r="C411" s="815" t="s">
        <v>3384</v>
      </c>
      <c r="D411" s="65"/>
      <c r="E411" s="65"/>
      <c r="F411" s="65"/>
      <c r="G411" s="62" t="s">
        <v>3571</v>
      </c>
      <c r="H411" s="1431"/>
      <c r="I411" s="1432"/>
      <c r="J411" s="1432"/>
      <c r="K411" s="1432"/>
      <c r="L411" s="1432"/>
      <c r="M411" s="1432"/>
      <c r="N411" s="1432"/>
      <c r="O411" s="1433"/>
      <c r="P411" s="795"/>
      <c r="Q411" s="234"/>
    </row>
    <row r="412" spans="1:31" ht="12" customHeight="1">
      <c r="B412" s="191" t="s">
        <v>2921</v>
      </c>
      <c r="D412" s="191"/>
      <c r="E412" s="191"/>
      <c r="F412" s="191"/>
      <c r="G412" s="191"/>
      <c r="H412" s="50"/>
      <c r="I412" s="179"/>
      <c r="J412" s="179"/>
      <c r="K412" s="179"/>
      <c r="L412" s="738"/>
      <c r="M412" s="738"/>
      <c r="N412" s="738"/>
      <c r="O412" s="738"/>
      <c r="P412" s="738"/>
      <c r="Q412" s="63"/>
    </row>
    <row r="413" spans="1:31" ht="12" customHeight="1">
      <c r="A413" s="1389"/>
      <c r="B413" s="1390"/>
      <c r="C413" s="1390"/>
      <c r="D413" s="1390"/>
      <c r="E413" s="1390"/>
      <c r="F413" s="1390"/>
      <c r="G413" s="1390"/>
      <c r="H413" s="1390"/>
      <c r="I413" s="1390"/>
      <c r="J413" s="1390"/>
      <c r="K413" s="1390"/>
      <c r="L413" s="1390"/>
      <c r="M413" s="1390"/>
      <c r="N413" s="1390"/>
      <c r="O413" s="1390"/>
      <c r="P413" s="1390"/>
      <c r="Q413" s="1391"/>
      <c r="U413" s="185"/>
      <c r="V413" s="185"/>
      <c r="W413" s="185"/>
      <c r="X413" s="185"/>
      <c r="Y413" s="185"/>
      <c r="Z413" s="185"/>
      <c r="AA413" s="185"/>
      <c r="AB413" s="185"/>
      <c r="AC413" s="185"/>
      <c r="AD413" s="185"/>
      <c r="AE413" s="186"/>
    </row>
    <row r="414" spans="1:31" ht="12" customHeight="1">
      <c r="A414" s="1383"/>
      <c r="B414" s="1384"/>
      <c r="C414" s="1384"/>
      <c r="D414" s="1384"/>
      <c r="E414" s="1384"/>
      <c r="F414" s="1384"/>
      <c r="G414" s="1384"/>
      <c r="H414" s="1384"/>
      <c r="I414" s="1384"/>
      <c r="J414" s="1384"/>
      <c r="K414" s="1384"/>
      <c r="L414" s="1384"/>
      <c r="M414" s="1384"/>
      <c r="N414" s="1384"/>
      <c r="O414" s="1384"/>
      <c r="P414" s="1384"/>
      <c r="Q414" s="1385"/>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1380"/>
      <c r="B416" s="1381"/>
      <c r="C416" s="1381"/>
      <c r="D416" s="1381"/>
      <c r="E416" s="1381"/>
      <c r="F416" s="1381"/>
      <c r="G416" s="1381"/>
      <c r="H416" s="1381"/>
      <c r="I416" s="1381"/>
      <c r="J416" s="1381"/>
      <c r="K416" s="1381"/>
      <c r="L416" s="1381"/>
      <c r="M416" s="1381"/>
      <c r="N416" s="1381"/>
      <c r="O416" s="1381"/>
      <c r="P416" s="1381"/>
      <c r="Q416" s="1382"/>
    </row>
    <row r="417" spans="1:31" ht="12" customHeight="1">
      <c r="A417" s="1412"/>
      <c r="B417" s="1413"/>
      <c r="C417" s="1413"/>
      <c r="D417" s="1413"/>
      <c r="E417" s="1413"/>
      <c r="F417" s="1413"/>
      <c r="G417" s="1413"/>
      <c r="H417" s="1413"/>
      <c r="I417" s="1413"/>
      <c r="J417" s="1413"/>
      <c r="K417" s="1413"/>
      <c r="L417" s="1413"/>
      <c r="M417" s="1413"/>
      <c r="N417" s="1413"/>
      <c r="O417" s="1413"/>
      <c r="P417" s="1413"/>
      <c r="Q417" s="1414"/>
    </row>
    <row r="418" spans="1:31" ht="12" customHeight="1">
      <c r="A418" s="1398"/>
      <c r="B418" s="1399"/>
      <c r="C418" s="1399"/>
      <c r="D418" s="1399"/>
      <c r="E418" s="1399"/>
      <c r="F418" s="1399"/>
      <c r="G418" s="1399"/>
      <c r="H418" s="1399"/>
      <c r="I418" s="1399"/>
      <c r="J418" s="1399"/>
      <c r="K418" s="1399"/>
      <c r="L418" s="1399"/>
      <c r="M418" s="1399"/>
      <c r="N418" s="1399"/>
      <c r="O418" s="1399"/>
      <c r="P418" s="1399"/>
      <c r="Q418" s="1400"/>
    </row>
    <row r="419" spans="1:31" ht="7.2" customHeight="1">
      <c r="A419" s="738"/>
      <c r="B419" s="179"/>
      <c r="C419" s="740"/>
      <c r="D419" s="740"/>
      <c r="E419" s="740"/>
      <c r="F419" s="740"/>
      <c r="G419" s="740"/>
      <c r="H419" s="740"/>
      <c r="I419" s="740"/>
      <c r="J419" s="740"/>
      <c r="K419" s="740"/>
      <c r="L419" s="740"/>
      <c r="M419" s="740"/>
      <c r="Q419" s="63"/>
    </row>
    <row r="420" spans="1:31" ht="13.95" customHeight="1">
      <c r="A420" s="742">
        <v>27</v>
      </c>
      <c r="B420" s="5" t="s">
        <v>3123</v>
      </c>
      <c r="C420" s="5"/>
      <c r="D420" s="118"/>
      <c r="E420" s="740"/>
      <c r="F420" s="740"/>
      <c r="G420" s="740"/>
      <c r="H420" s="740"/>
      <c r="O420" s="180" t="s">
        <v>2923</v>
      </c>
      <c r="P420" s="1386"/>
      <c r="Q420" s="1387"/>
    </row>
    <row r="421" spans="1:31" ht="13.2" customHeight="1">
      <c r="B421" s="57" t="s">
        <v>3060</v>
      </c>
      <c r="C421" s="49" t="s">
        <v>887</v>
      </c>
      <c r="D421" s="52"/>
      <c r="E421" s="52"/>
      <c r="F421" s="52"/>
      <c r="G421" s="52"/>
      <c r="H421" s="52"/>
      <c r="I421" s="52"/>
      <c r="J421" s="52"/>
      <c r="K421" s="52"/>
      <c r="L421" s="52"/>
      <c r="M421" s="52"/>
      <c r="O421" s="62" t="s">
        <v>3060</v>
      </c>
      <c r="P421" s="795"/>
      <c r="Q421" s="234"/>
    </row>
    <row r="422" spans="1:31" ht="13.2" customHeight="1">
      <c r="B422" s="57" t="s">
        <v>3063</v>
      </c>
      <c r="C422" s="49" t="s">
        <v>888</v>
      </c>
      <c r="D422" s="52"/>
      <c r="E422" s="52"/>
      <c r="F422" s="52"/>
      <c r="G422" s="52"/>
      <c r="H422" s="52"/>
      <c r="I422" s="52"/>
      <c r="J422" s="52"/>
      <c r="K422" s="52"/>
      <c r="L422" s="52"/>
      <c r="M422" s="52"/>
      <c r="O422" s="62" t="s">
        <v>3063</v>
      </c>
      <c r="P422" s="795"/>
      <c r="Q422" s="234"/>
    </row>
    <row r="423" spans="1:31" ht="24" customHeight="1">
      <c r="B423" s="192" t="s">
        <v>1238</v>
      </c>
      <c r="C423" s="1430" t="s">
        <v>889</v>
      </c>
      <c r="D423" s="1430"/>
      <c r="E423" s="1430"/>
      <c r="F423" s="1430"/>
      <c r="G423" s="1430"/>
      <c r="H423" s="1430"/>
      <c r="I423" s="1430"/>
      <c r="J423" s="1430"/>
      <c r="K423" s="1430"/>
      <c r="L423" s="1430"/>
      <c r="M423" s="1430"/>
      <c r="N423" s="1430"/>
      <c r="O423" s="221" t="s">
        <v>1238</v>
      </c>
      <c r="P423" s="811"/>
      <c r="Q423" s="353"/>
    </row>
    <row r="424" spans="1:31" ht="11.25" customHeight="1">
      <c r="B424" s="191" t="s">
        <v>2921</v>
      </c>
      <c r="D424" s="191"/>
      <c r="E424" s="191"/>
      <c r="F424" s="191"/>
      <c r="G424" s="191"/>
      <c r="H424" s="50"/>
      <c r="I424" s="179"/>
      <c r="J424" s="179"/>
      <c r="K424" s="179"/>
      <c r="L424" s="738"/>
      <c r="M424" s="738"/>
      <c r="N424" s="738"/>
      <c r="O424" s="738"/>
      <c r="P424" s="738"/>
      <c r="Q424" s="63"/>
    </row>
    <row r="425" spans="1:31" ht="11.4" customHeight="1">
      <c r="A425" s="1389"/>
      <c r="B425" s="1390"/>
      <c r="C425" s="1390"/>
      <c r="D425" s="1390"/>
      <c r="E425" s="1390"/>
      <c r="F425" s="1390"/>
      <c r="G425" s="1390"/>
      <c r="H425" s="1390"/>
      <c r="I425" s="1390"/>
      <c r="J425" s="1390"/>
      <c r="K425" s="1390"/>
      <c r="L425" s="1390"/>
      <c r="M425" s="1390"/>
      <c r="N425" s="1390"/>
      <c r="O425" s="1390"/>
      <c r="P425" s="1390"/>
      <c r="Q425" s="1391"/>
      <c r="R425" s="1405" t="s">
        <v>1932</v>
      </c>
      <c r="S425" s="1405"/>
      <c r="U425" s="185"/>
      <c r="V425" s="185"/>
      <c r="W425" s="185"/>
      <c r="X425" s="185"/>
      <c r="Y425" s="185"/>
      <c r="Z425" s="185"/>
      <c r="AA425" s="185"/>
      <c r="AB425" s="185"/>
      <c r="AC425" s="185"/>
      <c r="AD425" s="185"/>
      <c r="AE425" s="186"/>
    </row>
    <row r="426" spans="1:31" ht="11.4" customHeight="1">
      <c r="A426" s="1409"/>
      <c r="B426" s="1410"/>
      <c r="C426" s="1410"/>
      <c r="D426" s="1410"/>
      <c r="E426" s="1410"/>
      <c r="F426" s="1410"/>
      <c r="G426" s="1410"/>
      <c r="H426" s="1410"/>
      <c r="I426" s="1410"/>
      <c r="J426" s="1410"/>
      <c r="K426" s="1410"/>
      <c r="L426" s="1410"/>
      <c r="M426" s="1410"/>
      <c r="N426" s="1410"/>
      <c r="O426" s="1410"/>
      <c r="P426" s="1410"/>
      <c r="Q426" s="1411"/>
      <c r="R426" s="1405"/>
      <c r="S426" s="1405"/>
    </row>
    <row r="427" spans="1:31" ht="11.4" customHeight="1">
      <c r="A427" s="1383"/>
      <c r="B427" s="1384"/>
      <c r="C427" s="1384"/>
      <c r="D427" s="1384"/>
      <c r="E427" s="1384"/>
      <c r="F427" s="1384"/>
      <c r="G427" s="1384"/>
      <c r="H427" s="1384"/>
      <c r="I427" s="1384"/>
      <c r="J427" s="1384"/>
      <c r="K427" s="1384"/>
      <c r="L427" s="1384"/>
      <c r="M427" s="1384"/>
      <c r="N427" s="1384"/>
      <c r="O427" s="1384"/>
      <c r="P427" s="1384"/>
      <c r="Q427" s="1385"/>
      <c r="R427" s="1405"/>
      <c r="S427" s="1405"/>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 customHeight="1">
      <c r="A429" s="1380"/>
      <c r="B429" s="1381"/>
      <c r="C429" s="1381"/>
      <c r="D429" s="1381"/>
      <c r="E429" s="1381"/>
      <c r="F429" s="1381"/>
      <c r="G429" s="1381"/>
      <c r="H429" s="1381"/>
      <c r="I429" s="1381"/>
      <c r="J429" s="1381"/>
      <c r="K429" s="1381"/>
      <c r="L429" s="1381"/>
      <c r="M429" s="1381"/>
      <c r="N429" s="1381"/>
      <c r="O429" s="1381"/>
      <c r="P429" s="1381"/>
      <c r="Q429" s="1382"/>
    </row>
    <row r="430" spans="1:31" ht="11.4" customHeight="1">
      <c r="A430" s="1412"/>
      <c r="B430" s="1413"/>
      <c r="C430" s="1413"/>
      <c r="D430" s="1413"/>
      <c r="E430" s="1413"/>
      <c r="F430" s="1413"/>
      <c r="G430" s="1413"/>
      <c r="H430" s="1413"/>
      <c r="I430" s="1413"/>
      <c r="J430" s="1413"/>
      <c r="K430" s="1413"/>
      <c r="L430" s="1413"/>
      <c r="M430" s="1413"/>
      <c r="N430" s="1413"/>
      <c r="O430" s="1413"/>
      <c r="P430" s="1413"/>
      <c r="Q430" s="1414"/>
    </row>
    <row r="431" spans="1:31" ht="11.4" customHeight="1">
      <c r="A431" s="1398"/>
      <c r="B431" s="1399"/>
      <c r="C431" s="1399"/>
      <c r="D431" s="1399"/>
      <c r="E431" s="1399"/>
      <c r="F431" s="1399"/>
      <c r="G431" s="1399"/>
      <c r="H431" s="1399"/>
      <c r="I431" s="1399"/>
      <c r="J431" s="1399"/>
      <c r="K431" s="1399"/>
      <c r="L431" s="1399"/>
      <c r="M431" s="1399"/>
      <c r="N431" s="1399"/>
      <c r="O431" s="1399"/>
      <c r="P431" s="1399"/>
      <c r="Q431" s="1400"/>
    </row>
    <row r="432" spans="1:31" ht="7.2" customHeight="1">
      <c r="A432" s="738"/>
      <c r="B432" s="179"/>
      <c r="C432" s="740"/>
      <c r="D432" s="740"/>
      <c r="E432" s="740"/>
      <c r="F432" s="740"/>
      <c r="G432" s="740"/>
      <c r="H432" s="740"/>
      <c r="I432" s="740"/>
      <c r="J432" s="740"/>
      <c r="K432" s="740"/>
      <c r="L432" s="740"/>
      <c r="M432" s="740"/>
      <c r="Q432" s="63"/>
    </row>
    <row r="433" spans="1:31" ht="13.95" customHeight="1">
      <c r="A433" s="742">
        <v>28</v>
      </c>
      <c r="B433" s="5" t="s">
        <v>1354</v>
      </c>
      <c r="C433" s="5"/>
      <c r="D433" s="118"/>
      <c r="E433" s="740"/>
      <c r="F433" s="740"/>
      <c r="G433" s="740"/>
      <c r="H433" s="740"/>
      <c r="I433" s="740"/>
      <c r="J433" s="740"/>
      <c r="K433" s="740"/>
      <c r="L433" s="740"/>
      <c r="M433" s="740"/>
      <c r="O433" s="180" t="s">
        <v>2923</v>
      </c>
      <c r="P433" s="1386"/>
      <c r="Q433" s="1387"/>
    </row>
    <row r="434" spans="1:31" ht="11.25" customHeight="1">
      <c r="A434" s="742"/>
      <c r="B434" s="191" t="s">
        <v>2921</v>
      </c>
      <c r="D434" s="191"/>
      <c r="E434" s="191"/>
      <c r="F434" s="191"/>
      <c r="G434" s="191"/>
      <c r="H434" s="50"/>
      <c r="I434" s="179"/>
      <c r="J434" s="179"/>
      <c r="K434" s="179"/>
      <c r="L434" s="738"/>
      <c r="M434" s="738"/>
      <c r="N434" s="738"/>
      <c r="O434" s="738"/>
      <c r="P434" s="738"/>
      <c r="Q434" s="63"/>
    </row>
    <row r="435" spans="1:31" ht="11.4" customHeight="1">
      <c r="A435" s="1389"/>
      <c r="B435" s="1390"/>
      <c r="C435" s="1390"/>
      <c r="D435" s="1390"/>
      <c r="E435" s="1390"/>
      <c r="F435" s="1390"/>
      <c r="G435" s="1390"/>
      <c r="H435" s="1390"/>
      <c r="I435" s="1390"/>
      <c r="J435" s="1390"/>
      <c r="K435" s="1390"/>
      <c r="L435" s="1390"/>
      <c r="M435" s="1390"/>
      <c r="N435" s="1390"/>
      <c r="O435" s="1390"/>
      <c r="P435" s="1390"/>
      <c r="Q435" s="1391"/>
      <c r="R435" s="1405" t="s">
        <v>1932</v>
      </c>
      <c r="S435" s="1405"/>
      <c r="U435" s="185"/>
      <c r="V435" s="185"/>
      <c r="W435" s="185"/>
      <c r="X435" s="185"/>
      <c r="Y435" s="185"/>
      <c r="Z435" s="185"/>
      <c r="AA435" s="185"/>
      <c r="AB435" s="185"/>
      <c r="AC435" s="185"/>
      <c r="AD435" s="185"/>
      <c r="AE435" s="186"/>
    </row>
    <row r="436" spans="1:31" ht="11.4" customHeight="1">
      <c r="A436" s="1383"/>
      <c r="B436" s="1384"/>
      <c r="C436" s="1384"/>
      <c r="D436" s="1384"/>
      <c r="E436" s="1384"/>
      <c r="F436" s="1384"/>
      <c r="G436" s="1384"/>
      <c r="H436" s="1384"/>
      <c r="I436" s="1384"/>
      <c r="J436" s="1384"/>
      <c r="K436" s="1384"/>
      <c r="L436" s="1384"/>
      <c r="M436" s="1384"/>
      <c r="N436" s="1384"/>
      <c r="O436" s="1384"/>
      <c r="P436" s="1384"/>
      <c r="Q436" s="1385"/>
      <c r="R436" s="1405"/>
      <c r="S436" s="1405"/>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200000000000003" customHeight="1">
      <c r="A438" s="1380"/>
      <c r="B438" s="1381"/>
      <c r="C438" s="1381"/>
      <c r="D438" s="1381"/>
      <c r="E438" s="1381"/>
      <c r="F438" s="1381"/>
      <c r="G438" s="1381"/>
      <c r="H438" s="1381"/>
      <c r="I438" s="1381"/>
      <c r="J438" s="1381"/>
      <c r="K438" s="1381"/>
      <c r="L438" s="1381"/>
      <c r="M438" s="1381"/>
      <c r="N438" s="1381"/>
      <c r="O438" s="1381"/>
      <c r="P438" s="1381"/>
      <c r="Q438" s="1382"/>
    </row>
    <row r="439" spans="1:31" ht="37.200000000000003" customHeight="1">
      <c r="A439" s="1412"/>
      <c r="B439" s="1413"/>
      <c r="C439" s="1413"/>
      <c r="D439" s="1413"/>
      <c r="E439" s="1413"/>
      <c r="F439" s="1413"/>
      <c r="G439" s="1413"/>
      <c r="H439" s="1413"/>
      <c r="I439" s="1413"/>
      <c r="J439" s="1413"/>
      <c r="K439" s="1413"/>
      <c r="L439" s="1413"/>
      <c r="M439" s="1413"/>
      <c r="N439" s="1413"/>
      <c r="O439" s="1413"/>
      <c r="P439" s="1413"/>
      <c r="Q439" s="1414"/>
    </row>
    <row r="440" spans="1:31" ht="37.200000000000003" customHeight="1">
      <c r="A440" s="1412"/>
      <c r="B440" s="1413"/>
      <c r="C440" s="1413"/>
      <c r="D440" s="1413"/>
      <c r="E440" s="1413"/>
      <c r="F440" s="1413"/>
      <c r="G440" s="1413"/>
      <c r="H440" s="1413"/>
      <c r="I440" s="1413"/>
      <c r="J440" s="1413"/>
      <c r="K440" s="1413"/>
      <c r="L440" s="1413"/>
      <c r="M440" s="1413"/>
      <c r="N440" s="1413"/>
      <c r="O440" s="1413"/>
      <c r="P440" s="1413"/>
      <c r="Q440" s="1414"/>
    </row>
    <row r="441" spans="1:31" ht="37.200000000000003" customHeight="1">
      <c r="A441" s="1398"/>
      <c r="B441" s="1399"/>
      <c r="C441" s="1399"/>
      <c r="D441" s="1399"/>
      <c r="E441" s="1399"/>
      <c r="F441" s="1399"/>
      <c r="G441" s="1399"/>
      <c r="H441" s="1399"/>
      <c r="I441" s="1399"/>
      <c r="J441" s="1399"/>
      <c r="K441" s="1399"/>
      <c r="L441" s="1399"/>
      <c r="M441" s="1399"/>
      <c r="N441" s="1399"/>
      <c r="O441" s="1399"/>
      <c r="P441" s="1399"/>
      <c r="Q441" s="1400"/>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816"/>
      <c r="B445" s="816" t="s">
        <v>1238</v>
      </c>
      <c r="C445" s="816" t="s">
        <v>795</v>
      </c>
      <c r="D445" s="816"/>
      <c r="E445" s="816"/>
      <c r="F445" s="816"/>
      <c r="G445" s="816"/>
      <c r="H445" s="816"/>
      <c r="I445" s="816"/>
      <c r="J445" s="816"/>
      <c r="K445" s="816"/>
      <c r="L445" s="816"/>
      <c r="M445" s="816"/>
      <c r="N445" s="816"/>
      <c r="O445" s="816" t="s">
        <v>1238</v>
      </c>
      <c r="P445" s="816"/>
      <c r="Q445" s="816"/>
    </row>
    <row r="446" spans="1:31" ht="12" customHeight="1">
      <c r="A446" s="816"/>
      <c r="B446" s="816"/>
      <c r="C446" s="816" t="s">
        <v>2764</v>
      </c>
      <c r="D446" s="816" t="s">
        <v>883</v>
      </c>
      <c r="E446" s="816"/>
      <c r="F446" s="816"/>
      <c r="G446" s="816"/>
      <c r="H446" s="816"/>
      <c r="I446" s="816"/>
      <c r="J446" s="816"/>
      <c r="K446" s="816"/>
      <c r="L446" s="816"/>
      <c r="M446" s="816"/>
      <c r="N446" s="816"/>
      <c r="O446" s="816" t="s">
        <v>2764</v>
      </c>
      <c r="P446" s="816"/>
      <c r="Q446" s="816"/>
    </row>
    <row r="447" spans="1:31" ht="12" customHeight="1">
      <c r="A447" s="816"/>
      <c r="B447" s="816"/>
      <c r="C447" s="816" t="s">
        <v>2765</v>
      </c>
      <c r="D447" s="816" t="s">
        <v>0</v>
      </c>
      <c r="E447" s="816"/>
      <c r="F447" s="816"/>
      <c r="G447" s="816"/>
      <c r="H447" s="816"/>
      <c r="I447" s="816"/>
      <c r="J447" s="816"/>
      <c r="K447" s="816"/>
      <c r="L447" s="816"/>
      <c r="M447" s="816"/>
      <c r="N447" s="816"/>
      <c r="O447" s="816" t="s">
        <v>2765</v>
      </c>
      <c r="P447" s="816"/>
      <c r="Q447" s="816"/>
    </row>
    <row r="448" spans="1:31" ht="12" customHeight="1">
      <c r="A448" s="816"/>
      <c r="B448" s="816"/>
      <c r="C448" s="816" t="s">
        <v>2766</v>
      </c>
      <c r="D448" s="816" t="s">
        <v>796</v>
      </c>
      <c r="E448" s="816"/>
      <c r="F448" s="816"/>
      <c r="G448" s="816"/>
      <c r="H448" s="816"/>
      <c r="I448" s="816"/>
      <c r="J448" s="816"/>
      <c r="K448" s="816"/>
      <c r="L448" s="816"/>
      <c r="M448" s="816"/>
      <c r="N448" s="816"/>
      <c r="O448" s="816" t="s">
        <v>2766</v>
      </c>
      <c r="P448" s="816"/>
      <c r="Q448" s="816"/>
    </row>
    <row r="449" spans="1:19" ht="12" customHeight="1">
      <c r="A449" s="816"/>
      <c r="B449" s="816"/>
      <c r="C449" s="816" t="s">
        <v>3571</v>
      </c>
      <c r="D449" s="816" t="s">
        <v>797</v>
      </c>
      <c r="E449" s="816"/>
      <c r="F449" s="816"/>
      <c r="G449" s="816"/>
      <c r="H449" s="816"/>
      <c r="I449" s="816"/>
      <c r="J449" s="816"/>
      <c r="K449" s="816"/>
      <c r="L449" s="816"/>
      <c r="M449" s="816"/>
      <c r="N449" s="816"/>
      <c r="O449" s="816" t="s">
        <v>3571</v>
      </c>
      <c r="P449" s="816"/>
      <c r="Q449" s="816"/>
    </row>
    <row r="450" spans="1:19" ht="12" customHeight="1">
      <c r="A450" s="816"/>
      <c r="B450" s="816"/>
      <c r="C450" s="816" t="s">
        <v>2303</v>
      </c>
      <c r="D450" s="816" t="s">
        <v>798</v>
      </c>
      <c r="E450" s="816"/>
      <c r="F450" s="816"/>
      <c r="G450" s="816"/>
      <c r="H450" s="816"/>
      <c r="I450" s="816"/>
      <c r="J450" s="816"/>
      <c r="K450" s="816"/>
      <c r="L450" s="816"/>
      <c r="M450" s="816"/>
      <c r="N450" s="816"/>
      <c r="O450" s="816" t="s">
        <v>2303</v>
      </c>
      <c r="P450" s="816"/>
      <c r="Q450" s="816"/>
    </row>
    <row r="451" spans="1:19" ht="12" customHeight="1">
      <c r="A451" s="816"/>
      <c r="B451" s="816"/>
      <c r="C451" s="816" t="s">
        <v>2304</v>
      </c>
      <c r="D451" s="816" t="s">
        <v>2356</v>
      </c>
      <c r="E451" s="816"/>
      <c r="F451" s="816"/>
      <c r="G451" s="816"/>
      <c r="H451" s="816"/>
      <c r="I451" s="816"/>
      <c r="J451" s="816"/>
      <c r="K451" s="816"/>
      <c r="L451" s="816"/>
      <c r="M451" s="816"/>
      <c r="N451" s="816"/>
      <c r="O451" s="816" t="s">
        <v>2304</v>
      </c>
      <c r="P451" s="816"/>
      <c r="Q451" s="816"/>
    </row>
    <row r="452" spans="1:19" ht="12" customHeight="1">
      <c r="A452" s="816"/>
      <c r="B452" s="816"/>
      <c r="C452" s="816" t="s">
        <v>112</v>
      </c>
      <c r="D452" s="816" t="s">
        <v>799</v>
      </c>
      <c r="E452" s="816"/>
      <c r="F452" s="816"/>
      <c r="G452" s="816"/>
      <c r="H452" s="816"/>
      <c r="I452" s="816"/>
      <c r="J452" s="816"/>
      <c r="K452" s="816"/>
      <c r="L452" s="816"/>
      <c r="M452" s="816"/>
      <c r="N452" s="816"/>
      <c r="O452" s="816" t="s">
        <v>112</v>
      </c>
      <c r="P452" s="816"/>
      <c r="Q452" s="816"/>
    </row>
    <row r="453" spans="1:19" ht="12" customHeight="1">
      <c r="A453" s="816"/>
      <c r="B453" s="816"/>
      <c r="C453" s="816" t="s">
        <v>789</v>
      </c>
      <c r="D453" s="816" t="s">
        <v>800</v>
      </c>
      <c r="E453" s="816"/>
      <c r="F453" s="816"/>
      <c r="G453" s="816"/>
      <c r="H453" s="816"/>
      <c r="I453" s="816"/>
      <c r="J453" s="816"/>
      <c r="K453" s="816"/>
      <c r="L453" s="816"/>
      <c r="M453" s="816"/>
      <c r="N453" s="816"/>
      <c r="O453" s="816" t="s">
        <v>789</v>
      </c>
      <c r="P453" s="816"/>
      <c r="Q453" s="816"/>
    </row>
    <row r="454" spans="1:19" ht="12" customHeight="1">
      <c r="A454" s="816"/>
      <c r="B454" s="816"/>
      <c r="C454" s="816" t="s">
        <v>790</v>
      </c>
      <c r="D454" s="816" t="s">
        <v>2648</v>
      </c>
      <c r="E454" s="816"/>
      <c r="F454" s="816"/>
      <c r="G454" s="816"/>
      <c r="H454" s="816"/>
      <c r="I454" s="816"/>
      <c r="J454" s="816"/>
      <c r="K454" s="816"/>
      <c r="L454" s="816"/>
      <c r="M454" s="816"/>
      <c r="N454" s="816"/>
      <c r="O454" s="816" t="s">
        <v>790</v>
      </c>
      <c r="P454" s="816"/>
      <c r="Q454" s="816"/>
    </row>
    <row r="455" spans="1:19" ht="12" customHeight="1">
      <c r="A455" s="816"/>
      <c r="B455" s="816"/>
      <c r="C455" s="816" t="s">
        <v>791</v>
      </c>
      <c r="D455" s="816" t="s">
        <v>2973</v>
      </c>
      <c r="E455" s="816"/>
      <c r="F455" s="816"/>
      <c r="G455" s="816"/>
      <c r="H455" s="816"/>
      <c r="I455" s="816"/>
      <c r="J455" s="816"/>
      <c r="K455" s="816"/>
      <c r="L455" s="816"/>
      <c r="M455" s="816"/>
      <c r="N455" s="816"/>
      <c r="O455" s="816" t="s">
        <v>2975</v>
      </c>
      <c r="P455" s="816"/>
      <c r="Q455" s="816"/>
    </row>
    <row r="456" spans="1:19" ht="12" customHeight="1">
      <c r="A456" s="816"/>
      <c r="B456" s="816"/>
      <c r="C456" s="816" t="s">
        <v>791</v>
      </c>
      <c r="D456" s="816" t="s">
        <v>2974</v>
      </c>
      <c r="E456" s="816"/>
      <c r="F456" s="816"/>
      <c r="G456" s="816"/>
      <c r="H456" s="816"/>
      <c r="I456" s="816"/>
      <c r="J456" s="816"/>
      <c r="K456" s="816"/>
      <c r="L456" s="816"/>
      <c r="M456" s="816"/>
      <c r="N456" s="816"/>
      <c r="O456" s="816"/>
      <c r="P456" s="816"/>
      <c r="Q456" s="816"/>
    </row>
    <row r="457" spans="1:19" ht="12" customHeight="1">
      <c r="A457" s="816"/>
      <c r="B457" s="816"/>
      <c r="C457" s="816" t="s">
        <v>792</v>
      </c>
      <c r="D457" s="816" t="s">
        <v>2976</v>
      </c>
      <c r="E457" s="816"/>
      <c r="F457" s="816"/>
      <c r="G457" s="816"/>
      <c r="H457" s="816"/>
      <c r="I457" s="816"/>
      <c r="J457" s="816"/>
      <c r="K457" s="816"/>
      <c r="L457" s="816"/>
      <c r="M457" s="816"/>
      <c r="N457" s="816"/>
      <c r="O457" s="816" t="s">
        <v>792</v>
      </c>
      <c r="P457" s="816"/>
      <c r="Q457" s="816"/>
    </row>
    <row r="458" spans="1:19" ht="12" customHeight="1">
      <c r="A458" s="816"/>
      <c r="B458" s="816"/>
      <c r="C458" s="816" t="s">
        <v>793</v>
      </c>
      <c r="D458" s="816" t="s">
        <v>2977</v>
      </c>
      <c r="E458" s="816"/>
      <c r="F458" s="816"/>
      <c r="G458" s="816"/>
      <c r="H458" s="816"/>
      <c r="I458" s="816"/>
      <c r="J458" s="816"/>
      <c r="K458" s="816"/>
      <c r="L458" s="816"/>
      <c r="M458" s="816"/>
      <c r="N458" s="816"/>
      <c r="O458" s="816" t="s">
        <v>793</v>
      </c>
      <c r="P458" s="816"/>
      <c r="Q458" s="816"/>
    </row>
    <row r="459" spans="1:19" ht="12" customHeight="1">
      <c r="A459" s="816"/>
      <c r="B459" s="816"/>
      <c r="C459" s="816" t="s">
        <v>794</v>
      </c>
      <c r="D459" s="816" t="s">
        <v>2978</v>
      </c>
      <c r="E459" s="816"/>
      <c r="F459" s="816"/>
      <c r="G459" s="816"/>
      <c r="H459" s="816" t="s">
        <v>2800</v>
      </c>
      <c r="I459" s="816"/>
      <c r="J459" s="816"/>
      <c r="K459" s="816"/>
      <c r="L459" s="816"/>
      <c r="M459" s="816"/>
      <c r="N459" s="816"/>
      <c r="O459" s="816" t="s">
        <v>794</v>
      </c>
      <c r="P459" s="816"/>
      <c r="Q459" s="816"/>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2800</v>
      </c>
      <c r="K463" s="166"/>
      <c r="L463" s="166"/>
      <c r="M463" s="166"/>
      <c r="N463" s="364"/>
      <c r="O463" s="363"/>
      <c r="P463" s="363"/>
      <c r="Q463" s="218"/>
      <c r="R463" s="218"/>
      <c r="S463" s="218"/>
    </row>
    <row r="464" spans="1:19" s="31" customFormat="1" ht="13.8">
      <c r="A464" s="218"/>
      <c r="B464" s="166"/>
      <c r="C464" s="113" t="s">
        <v>3843</v>
      </c>
      <c r="D464" s="113"/>
      <c r="E464" s="113"/>
      <c r="F464" s="113"/>
      <c r="G464" s="113"/>
      <c r="H464" s="113"/>
      <c r="I464" s="113"/>
      <c r="J464" s="358" t="s">
        <v>2750</v>
      </c>
      <c r="K464" s="209"/>
      <c r="L464" s="166"/>
      <c r="M464" s="166"/>
      <c r="N464" s="364"/>
      <c r="O464" s="363"/>
      <c r="P464" s="363"/>
      <c r="Q464" s="218"/>
      <c r="R464" s="218"/>
      <c r="S464" s="218"/>
    </row>
    <row r="465" spans="1:19" s="31" customFormat="1" ht="13.8">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3.8">
      <c r="A466" s="218"/>
      <c r="B466" s="166"/>
      <c r="C466" s="113" t="s">
        <v>3187</v>
      </c>
      <c r="D466" s="113"/>
      <c r="E466" s="113"/>
      <c r="F466" s="113"/>
      <c r="G466" s="113"/>
      <c r="H466" s="113"/>
      <c r="I466" s="113"/>
      <c r="J466" s="362" t="s">
        <v>1831</v>
      </c>
      <c r="K466" s="209"/>
      <c r="L466" s="166"/>
      <c r="M466" s="166"/>
      <c r="N466" s="364"/>
      <c r="O466" s="363"/>
      <c r="P466" s="363"/>
      <c r="Q466" s="218"/>
      <c r="R466" s="218"/>
      <c r="S466" s="218"/>
    </row>
    <row r="467" spans="1:19" s="31" customFormat="1" ht="13.8">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3.8">
      <c r="A468" s="218"/>
      <c r="B468" s="166"/>
      <c r="C468" s="359" t="s">
        <v>3189</v>
      </c>
      <c r="D468" s="113"/>
      <c r="E468" s="113"/>
      <c r="F468" s="113"/>
      <c r="G468" s="113"/>
      <c r="H468" s="113"/>
      <c r="I468" s="113"/>
      <c r="J468" s="358" t="s">
        <v>2646</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3.8">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3.8">
      <c r="A471" s="218"/>
      <c r="B471" s="166"/>
      <c r="C471" s="360" t="s">
        <v>2098</v>
      </c>
      <c r="D471" s="113"/>
      <c r="E471" s="113"/>
      <c r="F471" s="113"/>
      <c r="G471" s="113"/>
      <c r="H471" s="113"/>
      <c r="I471" s="113"/>
      <c r="J471" s="358" t="s">
        <v>3201</v>
      </c>
      <c r="K471" s="209"/>
      <c r="L471" s="166"/>
      <c r="M471" s="166"/>
      <c r="N471" s="364"/>
      <c r="O471" s="363"/>
      <c r="P471" s="363"/>
      <c r="Q471" s="218"/>
      <c r="R471" s="218"/>
      <c r="S471" s="218"/>
    </row>
    <row r="472" spans="1:19" s="31" customFormat="1" ht="13.8">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3.8">
      <c r="A473" s="218"/>
      <c r="B473" s="166"/>
      <c r="C473" s="361" t="s">
        <v>3230</v>
      </c>
      <c r="D473" s="113"/>
      <c r="E473" s="113"/>
      <c r="F473" s="113"/>
      <c r="G473" s="113"/>
      <c r="H473" s="113"/>
      <c r="I473" s="113"/>
      <c r="J473" s="358" t="s">
        <v>1840</v>
      </c>
      <c r="K473" s="209"/>
      <c r="L473" s="166"/>
      <c r="M473" s="166"/>
      <c r="N473" s="364"/>
      <c r="O473" s="363"/>
      <c r="P473" s="363"/>
      <c r="Q473" s="218"/>
      <c r="R473" s="218"/>
      <c r="S473" s="218"/>
    </row>
    <row r="474" spans="1:19" s="31" customFormat="1" ht="13.8">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3.8">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3.8">
      <c r="A476" s="218"/>
      <c r="B476" s="166"/>
      <c r="C476" s="360" t="s">
        <v>3225</v>
      </c>
      <c r="D476" s="113"/>
      <c r="E476" s="113"/>
      <c r="F476" s="113"/>
      <c r="G476" s="113"/>
      <c r="H476" s="113"/>
      <c r="I476" s="113"/>
      <c r="J476" s="358" t="s">
        <v>1833</v>
      </c>
      <c r="K476" s="209"/>
      <c r="L476" s="166"/>
      <c r="M476" s="166"/>
      <c r="N476" s="364"/>
      <c r="O476" s="363"/>
      <c r="P476" s="363"/>
      <c r="Q476" s="218"/>
      <c r="R476" s="218"/>
      <c r="S476" s="218"/>
    </row>
    <row r="477" spans="1:19" s="31" customFormat="1" ht="13.8">
      <c r="A477" s="218"/>
      <c r="B477" s="166"/>
      <c r="C477" s="360" t="s">
        <v>3226</v>
      </c>
      <c r="D477" s="113"/>
      <c r="E477" s="113"/>
      <c r="F477" s="113"/>
      <c r="G477" s="113"/>
      <c r="H477" s="113"/>
      <c r="I477" s="113"/>
      <c r="J477" s="358" t="s">
        <v>1832</v>
      </c>
      <c r="K477" s="166"/>
      <c r="L477" s="166"/>
      <c r="M477" s="166"/>
      <c r="N477" s="364"/>
      <c r="O477" s="363"/>
      <c r="P477" s="363"/>
      <c r="Q477" s="218"/>
      <c r="R477" s="218"/>
      <c r="S477" s="218"/>
    </row>
    <row r="478" spans="1:19" s="31" customFormat="1" ht="13.8">
      <c r="A478" s="218"/>
      <c r="B478" s="166"/>
      <c r="C478" s="360" t="s">
        <v>3227</v>
      </c>
      <c r="D478" s="166"/>
      <c r="E478" s="166"/>
      <c r="F478" s="166"/>
      <c r="G478" s="166"/>
      <c r="H478" s="166"/>
      <c r="I478" s="166"/>
      <c r="J478" s="358" t="s">
        <v>2751</v>
      </c>
      <c r="K478" s="166"/>
      <c r="L478" s="166"/>
      <c r="M478" s="166"/>
      <c r="N478" s="364"/>
      <c r="O478" s="363"/>
      <c r="P478" s="363"/>
      <c r="Q478" s="218"/>
      <c r="R478" s="218"/>
      <c r="S478" s="218"/>
    </row>
    <row r="479" spans="1:19" s="31" customFormat="1" ht="13.8">
      <c r="A479" s="218"/>
      <c r="B479" s="166"/>
      <c r="C479" s="360" t="s">
        <v>3228</v>
      </c>
      <c r="D479" s="166"/>
      <c r="E479" s="166"/>
      <c r="F479" s="166"/>
      <c r="G479" s="166"/>
      <c r="H479" s="166"/>
      <c r="I479" s="166"/>
      <c r="J479" s="358" t="s">
        <v>2645</v>
      </c>
      <c r="K479" s="166"/>
      <c r="L479" s="166"/>
      <c r="M479" s="166"/>
      <c r="N479" s="364"/>
      <c r="O479" s="363"/>
      <c r="P479" s="363"/>
      <c r="Q479" s="218"/>
      <c r="R479" s="218"/>
      <c r="S479" s="218"/>
    </row>
    <row r="480" spans="1:19" s="31" customFormat="1" ht="13.8">
      <c r="A480" s="218"/>
      <c r="B480" s="166"/>
      <c r="C480" s="360" t="s">
        <v>3229</v>
      </c>
      <c r="D480" s="166"/>
      <c r="E480" s="166"/>
      <c r="F480" s="166"/>
      <c r="G480" s="166"/>
      <c r="H480" s="166"/>
      <c r="I480" s="166"/>
      <c r="J480" s="358" t="s">
        <v>2637</v>
      </c>
      <c r="K480" s="166"/>
      <c r="L480" s="166"/>
      <c r="M480" s="166"/>
      <c r="N480" s="364"/>
      <c r="O480" s="363"/>
      <c r="P480" s="363"/>
      <c r="Q480" s="218"/>
      <c r="R480" s="218"/>
      <c r="S480" s="218"/>
    </row>
    <row r="481" spans="1:19" s="31" customFormat="1" ht="13.8">
      <c r="A481" s="218"/>
      <c r="B481" s="166"/>
      <c r="C481" s="360" t="s">
        <v>2097</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62" zoomScaleNormal="90" workbookViewId="0">
      <selection activeCell="A291" sqref="A291:P291"/>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193" t="str">
        <f>CONCATENATE("PART NINE - SCORING CRITERIA","  -  ",'Part I-Project Information'!$O$4," ",'Part I-Project Information'!$F$22,", ",'Part I-Project Information'!F24,", ",'Part I-Project Information'!J25," County")</f>
        <v>PART NINE - SCORING CRITERIA  -  2011-053 Hampton Court , Hampton, Henry County</v>
      </c>
      <c r="B1" s="1194"/>
      <c r="C1" s="1194"/>
      <c r="D1" s="1194"/>
      <c r="E1" s="1194"/>
      <c r="F1" s="1194"/>
      <c r="G1" s="1194"/>
      <c r="H1" s="1194"/>
      <c r="I1" s="1194"/>
      <c r="J1" s="1194"/>
      <c r="K1" s="1194"/>
      <c r="L1" s="1194"/>
      <c r="M1" s="1194"/>
      <c r="N1" s="1194"/>
      <c r="O1" s="1194"/>
      <c r="P1" s="1195"/>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1" t="s">
        <v>3895</v>
      </c>
      <c r="G10" s="40">
        <f>F17</f>
        <v>0</v>
      </c>
      <c r="H10" s="246" t="s">
        <v>321</v>
      </c>
      <c r="M10" s="7">
        <v>7</v>
      </c>
      <c r="N10" s="82" t="s">
        <v>3060</v>
      </c>
      <c r="O10" s="792">
        <v>0</v>
      </c>
      <c r="P10" s="69"/>
    </row>
    <row r="11" spans="1:19" s="52" customFormat="1" ht="11.25" customHeight="1">
      <c r="A11" s="257" t="s">
        <v>3063</v>
      </c>
      <c r="B11" s="238" t="s">
        <v>1215</v>
      </c>
      <c r="D11" s="58"/>
      <c r="E11" s="58"/>
      <c r="F11" s="711" t="s">
        <v>3895</v>
      </c>
      <c r="G11" s="40">
        <f>K17</f>
        <v>0</v>
      </c>
      <c r="H11" s="246" t="s">
        <v>322</v>
      </c>
      <c r="J11" s="59"/>
      <c r="M11" s="7">
        <v>0</v>
      </c>
      <c r="N11" s="82" t="s">
        <v>3063</v>
      </c>
      <c r="O11" s="792">
        <v>0</v>
      </c>
      <c r="P11" s="69"/>
      <c r="Q11" s="146"/>
    </row>
    <row r="12" spans="1:19" s="53" customFormat="1" ht="11.25" customHeight="1">
      <c r="A12" s="257" t="s">
        <v>1238</v>
      </c>
      <c r="B12" s="238" t="s">
        <v>3210</v>
      </c>
      <c r="D12" s="58"/>
      <c r="E12" s="58"/>
      <c r="F12" s="711" t="s">
        <v>3895</v>
      </c>
      <c r="G12" s="40">
        <f>P17</f>
        <v>0</v>
      </c>
      <c r="H12" s="246" t="s">
        <v>323</v>
      </c>
      <c r="J12" s="59"/>
      <c r="M12" s="7">
        <v>1</v>
      </c>
      <c r="N12" s="82" t="s">
        <v>1238</v>
      </c>
      <c r="O12" s="792">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89"/>
      <c r="B14" s="1390"/>
      <c r="C14" s="1390"/>
      <c r="D14" s="1390"/>
      <c r="E14" s="1390"/>
      <c r="F14" s="1390"/>
      <c r="G14" s="1390"/>
      <c r="H14" s="1390"/>
      <c r="I14" s="1390"/>
      <c r="J14" s="1390"/>
      <c r="K14" s="1390"/>
      <c r="L14" s="1390"/>
      <c r="M14" s="1390"/>
      <c r="N14" s="1390"/>
      <c r="O14" s="1390"/>
      <c r="P14" s="1391"/>
      <c r="Q14" s="1405" t="s">
        <v>1932</v>
      </c>
      <c r="R14" s="1405"/>
    </row>
    <row r="15" spans="1:19" s="52" customFormat="1" ht="12.6" customHeight="1">
      <c r="A15" s="1383"/>
      <c r="B15" s="1384"/>
      <c r="C15" s="1384"/>
      <c r="D15" s="1384"/>
      <c r="E15" s="1384"/>
      <c r="F15" s="1384"/>
      <c r="G15" s="1384"/>
      <c r="H15" s="1384"/>
      <c r="I15" s="1384"/>
      <c r="J15" s="1384"/>
      <c r="K15" s="1384"/>
      <c r="L15" s="1384"/>
      <c r="M15" s="1384"/>
      <c r="N15" s="1384"/>
      <c r="O15" s="1384"/>
      <c r="P15" s="1385"/>
      <c r="Q15" s="1405"/>
      <c r="R15" s="1405"/>
      <c r="S15" s="217"/>
    </row>
    <row r="16" spans="1:19" s="52" customFormat="1" ht="10.95" customHeight="1">
      <c r="A16" s="260" t="s">
        <v>2922</v>
      </c>
      <c r="C16" s="129"/>
      <c r="D16" s="129"/>
      <c r="F16" s="179" t="s">
        <v>2739</v>
      </c>
      <c r="K16" s="179" t="s">
        <v>2739</v>
      </c>
      <c r="P16" s="62" t="s">
        <v>2739</v>
      </c>
      <c r="R16" s="217"/>
      <c r="S16" s="217"/>
    </row>
    <row r="17" spans="1:19" s="52" customFormat="1" ht="12" customHeight="1">
      <c r="A17" s="1520" t="s">
        <v>3639</v>
      </c>
      <c r="B17" s="1520"/>
      <c r="C17" s="1520"/>
      <c r="D17" s="1520"/>
      <c r="E17" s="83" t="s">
        <v>785</v>
      </c>
      <c r="F17" s="96">
        <f>SUM(F18:F29)</f>
        <v>0</v>
      </c>
      <c r="G17" s="1521" t="s">
        <v>3640</v>
      </c>
      <c r="H17" s="1520"/>
      <c r="I17" s="1520"/>
      <c r="J17" s="83" t="s">
        <v>785</v>
      </c>
      <c r="K17" s="96">
        <f>SUM(K18:K29)</f>
        <v>0</v>
      </c>
      <c r="L17" s="745" t="s">
        <v>2247</v>
      </c>
      <c r="M17" s="129"/>
      <c r="N17" s="127"/>
      <c r="O17" s="83"/>
      <c r="P17" s="96">
        <f>SUM(P18:P29)</f>
        <v>0</v>
      </c>
      <c r="R17" s="217"/>
      <c r="S17" s="217"/>
    </row>
    <row r="18" spans="1:19" s="52" customFormat="1" ht="24.6" customHeight="1">
      <c r="A18" s="1517">
        <v>1</v>
      </c>
      <c r="B18" s="1518"/>
      <c r="C18" s="1518"/>
      <c r="D18" s="1518"/>
      <c r="E18" s="1519"/>
      <c r="F18" s="308"/>
      <c r="G18" s="1512">
        <v>1</v>
      </c>
      <c r="H18" s="1513"/>
      <c r="I18" s="1513"/>
      <c r="J18" s="1513"/>
      <c r="K18" s="308"/>
      <c r="L18" s="1512">
        <v>1</v>
      </c>
      <c r="M18" s="1513"/>
      <c r="N18" s="1513"/>
      <c r="O18" s="1513"/>
      <c r="P18" s="308"/>
      <c r="Q18" s="1405" t="s">
        <v>1932</v>
      </c>
      <c r="R18" s="1405"/>
      <c r="S18" s="217"/>
    </row>
    <row r="19" spans="1:19" s="52" customFormat="1" ht="24.6" customHeight="1">
      <c r="A19" s="1497">
        <v>2</v>
      </c>
      <c r="B19" s="1498"/>
      <c r="C19" s="1498"/>
      <c r="D19" s="1498"/>
      <c r="E19" s="1499"/>
      <c r="F19" s="309"/>
      <c r="G19" s="1495">
        <v>2</v>
      </c>
      <c r="H19" s="1496"/>
      <c r="I19" s="1496"/>
      <c r="J19" s="1496"/>
      <c r="K19" s="309"/>
      <c r="L19" s="1495">
        <v>2</v>
      </c>
      <c r="M19" s="1496"/>
      <c r="N19" s="1496"/>
      <c r="O19" s="1496"/>
      <c r="P19" s="309"/>
      <c r="Q19" s="1405"/>
      <c r="R19" s="1405"/>
      <c r="S19" s="217"/>
    </row>
    <row r="20" spans="1:19" s="52" customFormat="1" ht="24.6" customHeight="1">
      <c r="A20" s="1497">
        <v>3</v>
      </c>
      <c r="B20" s="1498"/>
      <c r="C20" s="1498"/>
      <c r="D20" s="1498"/>
      <c r="E20" s="1499"/>
      <c r="F20" s="309"/>
      <c r="G20" s="1495">
        <v>3</v>
      </c>
      <c r="H20" s="1496"/>
      <c r="I20" s="1496"/>
      <c r="J20" s="1496"/>
      <c r="K20" s="309"/>
      <c r="L20" s="1495">
        <v>3</v>
      </c>
      <c r="M20" s="1496"/>
      <c r="N20" s="1496"/>
      <c r="O20" s="1496"/>
      <c r="P20" s="309"/>
      <c r="Q20" s="1405"/>
      <c r="R20" s="1405"/>
      <c r="S20" s="217"/>
    </row>
    <row r="21" spans="1:19" s="52" customFormat="1" ht="24.6" customHeight="1">
      <c r="A21" s="1497">
        <v>4</v>
      </c>
      <c r="B21" s="1498"/>
      <c r="C21" s="1498"/>
      <c r="D21" s="1498"/>
      <c r="E21" s="1499"/>
      <c r="F21" s="309"/>
      <c r="G21" s="1495">
        <v>4</v>
      </c>
      <c r="H21" s="1496"/>
      <c r="I21" s="1496"/>
      <c r="J21" s="1496"/>
      <c r="K21" s="309"/>
      <c r="L21" s="1495">
        <v>4</v>
      </c>
      <c r="M21" s="1496"/>
      <c r="N21" s="1496"/>
      <c r="O21" s="1496"/>
      <c r="P21" s="309"/>
      <c r="Q21" s="1405"/>
      <c r="R21" s="1405"/>
      <c r="S21" s="217"/>
    </row>
    <row r="22" spans="1:19" s="52" customFormat="1" ht="24.6" customHeight="1">
      <c r="A22" s="1497">
        <v>5</v>
      </c>
      <c r="B22" s="1498"/>
      <c r="C22" s="1498"/>
      <c r="D22" s="1498"/>
      <c r="E22" s="1499"/>
      <c r="F22" s="309"/>
      <c r="G22" s="1495">
        <v>5</v>
      </c>
      <c r="H22" s="1496"/>
      <c r="I22" s="1496"/>
      <c r="J22" s="1496"/>
      <c r="K22" s="309"/>
      <c r="L22" s="1495">
        <v>5</v>
      </c>
      <c r="M22" s="1496"/>
      <c r="N22" s="1496"/>
      <c r="O22" s="1496"/>
      <c r="P22" s="309"/>
      <c r="R22" s="217"/>
      <c r="S22" s="217"/>
    </row>
    <row r="23" spans="1:19" s="52" customFormat="1" ht="24.6" customHeight="1">
      <c r="A23" s="1497">
        <v>6</v>
      </c>
      <c r="B23" s="1498"/>
      <c r="C23" s="1498"/>
      <c r="D23" s="1498"/>
      <c r="E23" s="1499"/>
      <c r="F23" s="309"/>
      <c r="G23" s="1495">
        <v>6</v>
      </c>
      <c r="H23" s="1496"/>
      <c r="I23" s="1496"/>
      <c r="J23" s="1496"/>
      <c r="K23" s="309"/>
      <c r="L23" s="1495">
        <v>6</v>
      </c>
      <c r="M23" s="1496"/>
      <c r="N23" s="1496"/>
      <c r="O23" s="1496"/>
      <c r="P23" s="309"/>
      <c r="R23" s="217"/>
      <c r="S23" s="217"/>
    </row>
    <row r="24" spans="1:19" s="52" customFormat="1" ht="24.6" customHeight="1">
      <c r="A24" s="1497">
        <v>7</v>
      </c>
      <c r="B24" s="1498"/>
      <c r="C24" s="1498"/>
      <c r="D24" s="1498"/>
      <c r="E24" s="1499"/>
      <c r="F24" s="309"/>
      <c r="G24" s="1495">
        <v>7</v>
      </c>
      <c r="H24" s="1496"/>
      <c r="I24" s="1496"/>
      <c r="J24" s="1496"/>
      <c r="K24" s="309"/>
      <c r="L24" s="1495">
        <v>7</v>
      </c>
      <c r="M24" s="1496"/>
      <c r="N24" s="1496"/>
      <c r="O24" s="1496"/>
      <c r="P24" s="309"/>
      <c r="R24" s="217"/>
      <c r="S24" s="217"/>
    </row>
    <row r="25" spans="1:19" s="52" customFormat="1" ht="24.6" customHeight="1">
      <c r="A25" s="1497">
        <v>8</v>
      </c>
      <c r="B25" s="1498"/>
      <c r="C25" s="1498"/>
      <c r="D25" s="1498"/>
      <c r="E25" s="1499"/>
      <c r="F25" s="309"/>
      <c r="G25" s="1495">
        <v>8</v>
      </c>
      <c r="H25" s="1496"/>
      <c r="I25" s="1496"/>
      <c r="J25" s="1496"/>
      <c r="K25" s="309"/>
      <c r="L25" s="1495">
        <v>8</v>
      </c>
      <c r="M25" s="1496"/>
      <c r="N25" s="1496"/>
      <c r="O25" s="1496"/>
      <c r="P25" s="309"/>
      <c r="R25" s="217"/>
      <c r="S25" s="217"/>
    </row>
    <row r="26" spans="1:19" s="52" customFormat="1" ht="24.6" customHeight="1">
      <c r="A26" s="1497">
        <v>9</v>
      </c>
      <c r="B26" s="1498"/>
      <c r="C26" s="1498"/>
      <c r="D26" s="1498"/>
      <c r="E26" s="1499"/>
      <c r="F26" s="309"/>
      <c r="G26" s="1495">
        <v>9</v>
      </c>
      <c r="H26" s="1496"/>
      <c r="I26" s="1496"/>
      <c r="J26" s="1496"/>
      <c r="K26" s="309"/>
      <c r="L26" s="1495">
        <v>9</v>
      </c>
      <c r="M26" s="1496"/>
      <c r="N26" s="1496"/>
      <c r="O26" s="1496"/>
      <c r="P26" s="309"/>
      <c r="R26" s="217"/>
      <c r="S26" s="217"/>
    </row>
    <row r="27" spans="1:19" s="52" customFormat="1" ht="24.6" customHeight="1">
      <c r="A27" s="1497">
        <v>10</v>
      </c>
      <c r="B27" s="1498"/>
      <c r="C27" s="1498"/>
      <c r="D27" s="1498"/>
      <c r="E27" s="1499"/>
      <c r="F27" s="309"/>
      <c r="G27" s="1495">
        <v>10</v>
      </c>
      <c r="H27" s="1496"/>
      <c r="I27" s="1496"/>
      <c r="J27" s="1496"/>
      <c r="K27" s="309"/>
      <c r="L27" s="1495">
        <v>10</v>
      </c>
      <c r="M27" s="1496"/>
      <c r="N27" s="1496"/>
      <c r="O27" s="1496"/>
      <c r="P27" s="309"/>
      <c r="R27" s="217"/>
      <c r="S27" s="217"/>
    </row>
    <row r="28" spans="1:19" s="52" customFormat="1" ht="24.6" customHeight="1">
      <c r="A28" s="1497">
        <v>11</v>
      </c>
      <c r="B28" s="1498"/>
      <c r="C28" s="1498"/>
      <c r="D28" s="1498"/>
      <c r="E28" s="1499"/>
      <c r="F28" s="309"/>
      <c r="G28" s="1495">
        <v>11</v>
      </c>
      <c r="H28" s="1496"/>
      <c r="I28" s="1496"/>
      <c r="J28" s="1496"/>
      <c r="K28" s="309"/>
      <c r="L28" s="1495">
        <v>11</v>
      </c>
      <c r="M28" s="1496"/>
      <c r="N28" s="1496"/>
      <c r="O28" s="1496"/>
      <c r="P28" s="309"/>
      <c r="R28" s="217"/>
      <c r="S28" s="217"/>
    </row>
    <row r="29" spans="1:19" s="52" customFormat="1" ht="24.6" customHeight="1">
      <c r="A29" s="1514">
        <v>12</v>
      </c>
      <c r="B29" s="1515"/>
      <c r="C29" s="1515"/>
      <c r="D29" s="1515"/>
      <c r="E29" s="1516"/>
      <c r="F29" s="310"/>
      <c r="G29" s="1500">
        <v>12</v>
      </c>
      <c r="H29" s="1501"/>
      <c r="I29" s="1501"/>
      <c r="J29" s="1501"/>
      <c r="K29" s="310"/>
      <c r="L29" s="1500">
        <v>12</v>
      </c>
      <c r="M29" s="1501"/>
      <c r="N29" s="1501"/>
      <c r="O29" s="1501"/>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3066</v>
      </c>
      <c r="B31" s="151" t="s">
        <v>1631</v>
      </c>
      <c r="E31" s="72"/>
      <c r="G31" s="119"/>
      <c r="H31" s="65"/>
      <c r="K31" s="149"/>
      <c r="L31" s="573" t="str">
        <f>IF($O31&gt;$M31,"* * Check Score! * *","")</f>
        <v/>
      </c>
      <c r="M31" s="1">
        <v>3</v>
      </c>
      <c r="N31" s="8"/>
      <c r="O31" s="792">
        <v>3</v>
      </c>
      <c r="P31" s="69"/>
      <c r="Q31" s="146" t="s">
        <v>651</v>
      </c>
      <c r="R31" s="573" t="str">
        <f>IF(OR($O31=$M31,$O31=0,$O31=""),"","* * Check Score! * *")</f>
        <v/>
      </c>
    </row>
    <row r="32" spans="1:19" s="53" customFormat="1" ht="11.25" customHeight="1">
      <c r="A32" s="52"/>
      <c r="B32" s="154" t="s">
        <v>1938</v>
      </c>
      <c r="E32" s="72"/>
      <c r="H32" s="588" t="s">
        <v>130</v>
      </c>
      <c r="J32" s="793">
        <v>9</v>
      </c>
      <c r="L32" s="82" t="s">
        <v>1939</v>
      </c>
      <c r="M32" s="148">
        <f>IF(OR('Part VI-Revenues &amp; Expenses'!$M$61="", 'Part VI-Revenues &amp; Expenses'!$M$61=0),"",J32/'Part VI-Revenues &amp; Expenses'!$M$61)</f>
        <v>0.15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395"/>
      <c r="B34" s="1396"/>
      <c r="C34" s="1396"/>
      <c r="D34" s="1396"/>
      <c r="E34" s="1396"/>
      <c r="F34" s="1396"/>
      <c r="G34" s="1396"/>
      <c r="H34" s="1396"/>
      <c r="I34" s="1396"/>
      <c r="J34" s="1396"/>
      <c r="K34" s="1396"/>
      <c r="L34" s="1396"/>
      <c r="M34" s="1396"/>
      <c r="N34" s="1396"/>
      <c r="O34" s="1396"/>
      <c r="P34" s="1397"/>
    </row>
    <row r="35" spans="1:18" s="53" customFormat="1" ht="11.4"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438"/>
      <c r="B36" s="1439"/>
      <c r="C36" s="1439"/>
      <c r="D36" s="1439"/>
      <c r="E36" s="1439"/>
      <c r="F36" s="1439"/>
      <c r="G36" s="1439"/>
      <c r="H36" s="1439"/>
      <c r="I36" s="1439"/>
      <c r="J36" s="1439"/>
      <c r="K36" s="1439"/>
      <c r="L36" s="1439"/>
      <c r="M36" s="1439"/>
      <c r="N36" s="1439"/>
      <c r="O36" s="1439"/>
      <c r="P36" s="1440"/>
    </row>
    <row r="37" spans="1:18" ht="13.2" customHeight="1"/>
    <row r="38" spans="1:18" s="53" customFormat="1" ht="12.6" customHeight="1">
      <c r="A38" s="210" t="s">
        <v>3823</v>
      </c>
      <c r="B38" s="142" t="s">
        <v>2930</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3060</v>
      </c>
      <c r="B41" s="238" t="s">
        <v>2932</v>
      </c>
      <c r="C41" s="5"/>
      <c r="D41" s="5"/>
      <c r="E41" s="246" t="s">
        <v>2935</v>
      </c>
      <c r="F41" s="461"/>
      <c r="G41" s="246" t="s">
        <v>2931</v>
      </c>
      <c r="I41" s="49"/>
      <c r="K41" s="58"/>
      <c r="L41" s="793">
        <v>0</v>
      </c>
      <c r="M41" s="3">
        <v>10</v>
      </c>
      <c r="N41" s="252" t="s">
        <v>3060</v>
      </c>
      <c r="O41" s="794">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794">
        <v>2</v>
      </c>
      <c r="P42" s="89"/>
      <c r="R42" s="573"/>
    </row>
    <row r="43" spans="1:18" s="53" customFormat="1" ht="12.6" customHeight="1">
      <c r="A43" s="189" t="s">
        <v>1238</v>
      </c>
      <c r="B43" s="238" t="s">
        <v>2934</v>
      </c>
      <c r="D43" s="51"/>
      <c r="E43" s="246" t="s">
        <v>624</v>
      </c>
      <c r="F43" s="599"/>
      <c r="G43" s="246" t="s">
        <v>625</v>
      </c>
      <c r="L43" s="793"/>
      <c r="M43" s="7" t="s">
        <v>1900</v>
      </c>
      <c r="N43" s="252" t="s">
        <v>1238</v>
      </c>
      <c r="O43" s="792">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 customHeight="1">
      <c r="A46" s="1389"/>
      <c r="B46" s="1390"/>
      <c r="C46" s="1390"/>
      <c r="D46" s="1390"/>
      <c r="E46" s="1390"/>
      <c r="F46" s="1390"/>
      <c r="G46" s="1390"/>
      <c r="H46" s="1390"/>
      <c r="I46" s="1390"/>
      <c r="J46" s="1390"/>
      <c r="K46" s="1390"/>
      <c r="L46" s="1390"/>
      <c r="M46" s="1390"/>
      <c r="N46" s="1390"/>
      <c r="O46" s="1390"/>
      <c r="P46" s="1391"/>
      <c r="Q46" s="1405" t="s">
        <v>1932</v>
      </c>
      <c r="R46" s="1405"/>
    </row>
    <row r="47" spans="1:18" s="53" customFormat="1" ht="23.4" customHeight="1">
      <c r="A47" s="1409"/>
      <c r="B47" s="1410"/>
      <c r="C47" s="1410"/>
      <c r="D47" s="1410"/>
      <c r="E47" s="1410"/>
      <c r="F47" s="1410"/>
      <c r="G47" s="1410"/>
      <c r="H47" s="1410"/>
      <c r="I47" s="1410"/>
      <c r="J47" s="1410"/>
      <c r="K47" s="1410"/>
      <c r="L47" s="1410"/>
      <c r="M47" s="1410"/>
      <c r="N47" s="1410"/>
      <c r="O47" s="1410"/>
      <c r="P47" s="1411"/>
      <c r="Q47" s="1405"/>
      <c r="R47" s="1405"/>
    </row>
    <row r="48" spans="1:18" s="53" customFormat="1" ht="23.4" customHeight="1">
      <c r="A48" s="1383"/>
      <c r="B48" s="1384"/>
      <c r="C48" s="1384"/>
      <c r="D48" s="1384"/>
      <c r="E48" s="1384"/>
      <c r="F48" s="1384"/>
      <c r="G48" s="1384"/>
      <c r="H48" s="1384"/>
      <c r="I48" s="1384"/>
      <c r="J48" s="1384"/>
      <c r="K48" s="1384"/>
      <c r="L48" s="1384"/>
      <c r="M48" s="1384"/>
      <c r="N48" s="1384"/>
      <c r="O48" s="1384"/>
      <c r="P48" s="1385"/>
    </row>
    <row r="49" spans="1:18" s="53" customFormat="1" ht="11.4" customHeight="1">
      <c r="A49" s="52"/>
      <c r="B49" s="84" t="s">
        <v>2922</v>
      </c>
      <c r="C49" s="52"/>
      <c r="D49" s="187"/>
      <c r="E49" s="740"/>
      <c r="F49" s="740"/>
      <c r="G49" s="740"/>
      <c r="H49" s="740"/>
      <c r="I49" s="740"/>
      <c r="J49" s="740"/>
      <c r="K49" s="740"/>
      <c r="L49" s="740"/>
      <c r="M49" s="740"/>
      <c r="N49" s="94"/>
      <c r="O49" s="90"/>
      <c r="P49" s="3"/>
    </row>
    <row r="50" spans="1:18" s="53" customFormat="1" ht="23.4" customHeight="1">
      <c r="A50" s="1380"/>
      <c r="B50" s="1381"/>
      <c r="C50" s="1381"/>
      <c r="D50" s="1381"/>
      <c r="E50" s="1381"/>
      <c r="F50" s="1381"/>
      <c r="G50" s="1381"/>
      <c r="H50" s="1381"/>
      <c r="I50" s="1381"/>
      <c r="J50" s="1381"/>
      <c r="K50" s="1381"/>
      <c r="L50" s="1381"/>
      <c r="M50" s="1381"/>
      <c r="N50" s="1381"/>
      <c r="O50" s="1381"/>
      <c r="P50" s="1382"/>
      <c r="Q50" s="1405" t="s">
        <v>1932</v>
      </c>
      <c r="R50" s="1405"/>
    </row>
    <row r="51" spans="1:18" s="53" customFormat="1" ht="23.4" customHeight="1">
      <c r="A51" s="1412"/>
      <c r="B51" s="1413"/>
      <c r="C51" s="1413"/>
      <c r="D51" s="1413"/>
      <c r="E51" s="1413"/>
      <c r="F51" s="1413"/>
      <c r="G51" s="1413"/>
      <c r="H51" s="1413"/>
      <c r="I51" s="1413"/>
      <c r="J51" s="1413"/>
      <c r="K51" s="1413"/>
      <c r="L51" s="1413"/>
      <c r="M51" s="1413"/>
      <c r="N51" s="1413"/>
      <c r="O51" s="1413"/>
      <c r="P51" s="1414"/>
      <c r="Q51" s="1405"/>
      <c r="R51" s="1405"/>
    </row>
    <row r="52" spans="1:18" s="53" customFormat="1" ht="23.4" customHeight="1">
      <c r="A52" s="1398"/>
      <c r="B52" s="1399"/>
      <c r="C52" s="1399"/>
      <c r="D52" s="1399"/>
      <c r="E52" s="1399"/>
      <c r="F52" s="1399"/>
      <c r="G52" s="1399"/>
      <c r="H52" s="1399"/>
      <c r="I52" s="1399"/>
      <c r="J52" s="1399"/>
      <c r="K52" s="1399"/>
      <c r="L52" s="1399"/>
      <c r="M52" s="1399"/>
      <c r="N52" s="1399"/>
      <c r="O52" s="1399"/>
      <c r="P52" s="1400"/>
    </row>
    <row r="53" spans="1:18" ht="3.6" customHeight="1">
      <c r="M53" s="42"/>
      <c r="N53" s="156"/>
      <c r="O53" s="206"/>
      <c r="P53" s="206"/>
    </row>
    <row r="54" spans="1:18" ht="3" customHeight="1"/>
    <row r="55" spans="1:18" s="53" customFormat="1" ht="12.6" customHeight="1">
      <c r="A55" s="210" t="s">
        <v>1885</v>
      </c>
      <c r="B55" s="142" t="s">
        <v>1940</v>
      </c>
      <c r="D55" s="51"/>
      <c r="H55" s="59" t="s">
        <v>2941</v>
      </c>
      <c r="I55" s="49"/>
      <c r="J55" s="58"/>
      <c r="K55" s="58"/>
      <c r="M55" s="3">
        <v>2</v>
      </c>
      <c r="N55" s="62"/>
      <c r="O55" s="205">
        <f>MIN($M55,(O56+O57))</f>
        <v>0</v>
      </c>
      <c r="P55" s="205">
        <f>MIN($M55,(P56+P57))</f>
        <v>0</v>
      </c>
      <c r="Q55" s="146" t="s">
        <v>651</v>
      </c>
    </row>
    <row r="56" spans="1:18" s="53" customFormat="1" ht="12" customHeight="1">
      <c r="A56" s="189" t="s">
        <v>3060</v>
      </c>
      <c r="B56" s="238" t="s">
        <v>1709</v>
      </c>
      <c r="C56" s="5"/>
      <c r="D56" s="5"/>
      <c r="E56" s="46"/>
      <c r="F56" s="5"/>
      <c r="G56" s="49"/>
      <c r="I56" s="49"/>
      <c r="K56" s="58"/>
      <c r="L56" s="573" t="str">
        <f>IF(OR($O56=$M56,$O56=0,$O56=""),"","* * Check Score! * *")</f>
        <v/>
      </c>
      <c r="M56" s="3">
        <v>2</v>
      </c>
      <c r="N56" s="252" t="s">
        <v>3060</v>
      </c>
      <c r="O56" s="794">
        <v>0</v>
      </c>
      <c r="P56" s="89"/>
      <c r="R56" s="573"/>
    </row>
    <row r="57" spans="1:18" s="53" customFormat="1" ht="12.6" customHeight="1">
      <c r="A57" s="189" t="s">
        <v>3063</v>
      </c>
      <c r="B57" s="238" t="s">
        <v>1710</v>
      </c>
      <c r="E57" s="51"/>
      <c r="K57" s="58"/>
      <c r="L57" s="573" t="str">
        <f>IF(OR($O57=$M57,$O57=0,$O57=""),"","* * Check Score! * *")</f>
        <v/>
      </c>
      <c r="M57" s="3">
        <v>1</v>
      </c>
      <c r="N57" s="62" t="s">
        <v>3063</v>
      </c>
      <c r="O57" s="794">
        <v>0</v>
      </c>
      <c r="P57" s="89"/>
      <c r="R57" s="573"/>
    </row>
    <row r="58" spans="1:18" s="139" customFormat="1" ht="11.4" customHeight="1">
      <c r="A58" s="52"/>
      <c r="B58" s="59" t="s">
        <v>333</v>
      </c>
      <c r="C58" s="52"/>
      <c r="D58" s="58"/>
      <c r="E58" s="58"/>
      <c r="F58" s="58"/>
      <c r="G58" s="58"/>
      <c r="H58" s="46"/>
      <c r="I58" s="46"/>
      <c r="J58" s="46"/>
      <c r="K58" s="46"/>
      <c r="M58" s="56"/>
      <c r="N58" s="7"/>
      <c r="O58" s="4"/>
      <c r="P58" s="3"/>
    </row>
    <row r="59" spans="1:18" s="53" customFormat="1" ht="23.4" customHeight="1">
      <c r="A59" s="1395"/>
      <c r="B59" s="1396"/>
      <c r="C59" s="1396"/>
      <c r="D59" s="1396"/>
      <c r="E59" s="1396"/>
      <c r="F59" s="1396"/>
      <c r="G59" s="1396"/>
      <c r="H59" s="1396"/>
      <c r="I59" s="1396"/>
      <c r="J59" s="1396"/>
      <c r="K59" s="1396"/>
      <c r="L59" s="1396"/>
      <c r="M59" s="1396"/>
      <c r="N59" s="1396"/>
      <c r="O59" s="1396"/>
      <c r="P59" s="1397"/>
    </row>
    <row r="60" spans="1:18" s="139" customFormat="1" ht="11.4" customHeight="1">
      <c r="A60" s="52"/>
      <c r="B60" s="133" t="s">
        <v>2922</v>
      </c>
      <c r="C60" s="52"/>
      <c r="D60" s="133"/>
      <c r="E60" s="737"/>
      <c r="F60" s="737"/>
      <c r="G60" s="737"/>
      <c r="H60" s="737"/>
      <c r="I60" s="737"/>
      <c r="J60" s="737"/>
      <c r="K60" s="737"/>
      <c r="L60" s="737"/>
      <c r="M60" s="737"/>
      <c r="N60" s="127"/>
      <c r="O60" s="259"/>
      <c r="P60" s="3"/>
    </row>
    <row r="61" spans="1:18" s="53" customFormat="1" ht="23.4" customHeight="1">
      <c r="A61" s="1380"/>
      <c r="B61" s="1381"/>
      <c r="C61" s="1381"/>
      <c r="D61" s="1381"/>
      <c r="E61" s="1381"/>
      <c r="F61" s="1381"/>
      <c r="G61" s="1381"/>
      <c r="H61" s="1381"/>
      <c r="I61" s="1381"/>
      <c r="J61" s="1381"/>
      <c r="K61" s="1381"/>
      <c r="L61" s="1381"/>
      <c r="M61" s="1381"/>
      <c r="N61" s="1381"/>
      <c r="O61" s="1381"/>
      <c r="P61" s="1382"/>
    </row>
    <row r="62" spans="1:18" s="53" customFormat="1" ht="23.4" customHeight="1">
      <c r="A62" s="1398"/>
      <c r="B62" s="1399"/>
      <c r="C62" s="1399"/>
      <c r="D62" s="1399"/>
      <c r="E62" s="1399"/>
      <c r="F62" s="1399"/>
      <c r="G62" s="1399"/>
      <c r="H62" s="1399"/>
      <c r="I62" s="1399"/>
      <c r="J62" s="1399"/>
      <c r="K62" s="1399"/>
      <c r="L62" s="1399"/>
      <c r="M62" s="1399"/>
      <c r="N62" s="1399"/>
      <c r="O62" s="1399"/>
      <c r="P62" s="1400"/>
    </row>
    <row r="63" spans="1:18" s="53" customFormat="1" ht="3" customHeight="1">
      <c r="A63" s="253"/>
      <c r="B63" s="61"/>
      <c r="G63" s="51"/>
      <c r="J63" s="58"/>
      <c r="K63" s="58"/>
      <c r="M63" s="139"/>
      <c r="N63" s="61"/>
      <c r="O63" s="139"/>
      <c r="P63" s="139"/>
    </row>
    <row r="64" spans="1:18" s="53" customFormat="1" ht="12.6" customHeight="1">
      <c r="A64" s="210" t="s">
        <v>1886</v>
      </c>
      <c r="B64" s="142" t="s">
        <v>3704</v>
      </c>
      <c r="D64" s="51"/>
      <c r="E64" s="600" t="s">
        <v>3706</v>
      </c>
      <c r="I64" s="59" t="s">
        <v>2941</v>
      </c>
      <c r="M64" s="3">
        <v>1</v>
      </c>
      <c r="N64" s="616" t="str">
        <f>IF(OR($O64=$M64,$O64=0,$O64=""),"","***")</f>
        <v/>
      </c>
      <c r="O64" s="794">
        <v>0</v>
      </c>
      <c r="P64" s="89"/>
      <c r="Q64" s="146" t="s">
        <v>651</v>
      </c>
    </row>
    <row r="65" spans="1:17" s="53" customFormat="1" ht="12.6" customHeight="1">
      <c r="A65" s="210"/>
      <c r="B65" s="600" t="s">
        <v>1211</v>
      </c>
      <c r="D65" s="51"/>
      <c r="H65" s="59"/>
      <c r="I65" s="59"/>
      <c r="J65" s="59"/>
      <c r="K65" s="59"/>
      <c r="L65" s="59"/>
      <c r="M65" s="3"/>
      <c r="N65" s="616"/>
      <c r="O65" s="795" t="s">
        <v>2253</v>
      </c>
      <c r="P65" s="234"/>
      <c r="Q65" s="146"/>
    </row>
    <row r="66" spans="1:17" s="53" customFormat="1" ht="12.6" customHeight="1">
      <c r="A66" s="210"/>
      <c r="B66" s="600" t="s">
        <v>1210</v>
      </c>
      <c r="D66" s="51"/>
      <c r="H66" s="59"/>
      <c r="I66" s="1547"/>
      <c r="J66" s="1548"/>
      <c r="K66" s="1548"/>
      <c r="L66" s="1549"/>
      <c r="M66" s="3"/>
      <c r="N66" s="616"/>
      <c r="O66" s="616"/>
      <c r="P66" s="616"/>
      <c r="Q66" s="146"/>
    </row>
    <row r="67" spans="1:17" s="53" customFormat="1" ht="12.6" customHeight="1">
      <c r="A67" s="210"/>
      <c r="B67" s="600" t="s">
        <v>1212</v>
      </c>
      <c r="D67" s="51"/>
      <c r="H67" s="59"/>
      <c r="I67" s="59"/>
      <c r="J67" s="59"/>
      <c r="K67" s="59"/>
      <c r="L67" s="59"/>
      <c r="M67" s="3"/>
      <c r="N67" s="616"/>
      <c r="O67" s="795" t="s">
        <v>2253</v>
      </c>
      <c r="P67" s="234"/>
      <c r="Q67" s="146"/>
    </row>
    <row r="68" spans="1:17" s="139" customFormat="1" ht="11.4" customHeight="1">
      <c r="A68" s="52"/>
      <c r="B68" s="59" t="s">
        <v>333</v>
      </c>
      <c r="C68" s="52"/>
      <c r="D68" s="58"/>
      <c r="E68" s="58"/>
      <c r="F68" s="58"/>
      <c r="G68" s="58"/>
      <c r="I68" s="46"/>
      <c r="J68" s="46"/>
      <c r="K68" s="46"/>
      <c r="M68" s="56"/>
      <c r="N68" s="7"/>
      <c r="O68" s="4"/>
      <c r="P68" s="3"/>
    </row>
    <row r="69" spans="1:17" s="53" customFormat="1" ht="23.4" customHeight="1">
      <c r="A69" s="1395"/>
      <c r="B69" s="1396"/>
      <c r="C69" s="1396"/>
      <c r="D69" s="1396"/>
      <c r="E69" s="1396"/>
      <c r="F69" s="1396"/>
      <c r="G69" s="1396"/>
      <c r="H69" s="1396"/>
      <c r="I69" s="1396"/>
      <c r="J69" s="1396"/>
      <c r="K69" s="1396"/>
      <c r="L69" s="1396"/>
      <c r="M69" s="1396"/>
      <c r="N69" s="1396"/>
      <c r="O69" s="1396"/>
      <c r="P69" s="1397"/>
    </row>
    <row r="70" spans="1:17" s="139" customFormat="1" ht="11.4" customHeight="1">
      <c r="A70" s="52"/>
      <c r="B70" s="133" t="s">
        <v>2922</v>
      </c>
      <c r="C70" s="52"/>
      <c r="D70" s="133"/>
      <c r="E70" s="737"/>
      <c r="F70" s="737"/>
      <c r="G70" s="737"/>
      <c r="H70" s="737"/>
      <c r="I70" s="737"/>
      <c r="J70" s="737"/>
      <c r="K70" s="737"/>
      <c r="L70" s="737"/>
      <c r="M70" s="737"/>
      <c r="N70" s="127"/>
      <c r="O70" s="259"/>
      <c r="P70" s="3"/>
    </row>
    <row r="71" spans="1:17" s="53" customFormat="1" ht="23.4" customHeight="1">
      <c r="A71" s="1380"/>
      <c r="B71" s="1381"/>
      <c r="C71" s="1381"/>
      <c r="D71" s="1381"/>
      <c r="E71" s="1381"/>
      <c r="F71" s="1381"/>
      <c r="G71" s="1381"/>
      <c r="H71" s="1381"/>
      <c r="I71" s="1381"/>
      <c r="J71" s="1381"/>
      <c r="K71" s="1381"/>
      <c r="L71" s="1381"/>
      <c r="M71" s="1381"/>
      <c r="N71" s="1381"/>
      <c r="O71" s="1381"/>
      <c r="P71" s="1382"/>
    </row>
    <row r="72" spans="1:17" s="53" customFormat="1" ht="23.4" customHeight="1">
      <c r="A72" s="1398"/>
      <c r="B72" s="1399"/>
      <c r="C72" s="1399"/>
      <c r="D72" s="1399"/>
      <c r="E72" s="1399"/>
      <c r="F72" s="1399"/>
      <c r="G72" s="1399"/>
      <c r="H72" s="1399"/>
      <c r="I72" s="1399"/>
      <c r="J72" s="1399"/>
      <c r="K72" s="1399"/>
      <c r="L72" s="1399"/>
      <c r="M72" s="1399"/>
      <c r="N72" s="1399"/>
      <c r="O72" s="1399"/>
      <c r="P72" s="1400"/>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2090</v>
      </c>
      <c r="I74" s="59" t="s">
        <v>2941</v>
      </c>
      <c r="M74" s="3">
        <v>2</v>
      </c>
      <c r="N74" s="62"/>
      <c r="O74" s="794">
        <v>0</v>
      </c>
      <c r="P74" s="89"/>
      <c r="Q74" s="146" t="s">
        <v>651</v>
      </c>
    </row>
    <row r="75" spans="1:17" s="53" customFormat="1" ht="12.6" customHeight="1">
      <c r="A75" s="210"/>
      <c r="B75" s="600" t="s">
        <v>1213</v>
      </c>
      <c r="D75" s="51"/>
      <c r="E75" s="46"/>
      <c r="I75" s="1547"/>
      <c r="J75" s="1548"/>
      <c r="K75" s="1548"/>
      <c r="L75" s="1549"/>
      <c r="M75" s="3"/>
      <c r="N75" s="62"/>
      <c r="O75" s="62"/>
      <c r="P75" s="62"/>
      <c r="Q75" s="146"/>
    </row>
    <row r="76" spans="1:17" s="139" customFormat="1" ht="11.4" customHeight="1">
      <c r="A76" s="52"/>
      <c r="B76" s="59" t="s">
        <v>333</v>
      </c>
      <c r="C76" s="52"/>
      <c r="D76" s="58"/>
      <c r="E76" s="58"/>
      <c r="F76" s="58"/>
      <c r="G76" s="58"/>
      <c r="I76" s="46"/>
      <c r="J76" s="46"/>
      <c r="K76" s="46"/>
      <c r="M76" s="56"/>
      <c r="N76" s="7"/>
      <c r="O76" s="4"/>
      <c r="P76" s="3"/>
    </row>
    <row r="77" spans="1:17" s="53" customFormat="1" ht="23.4" customHeight="1">
      <c r="A77" s="1395"/>
      <c r="B77" s="1396"/>
      <c r="C77" s="1396"/>
      <c r="D77" s="1396"/>
      <c r="E77" s="1396"/>
      <c r="F77" s="1396"/>
      <c r="G77" s="1396"/>
      <c r="H77" s="1396"/>
      <c r="I77" s="1396"/>
      <c r="J77" s="1396"/>
      <c r="K77" s="1396"/>
      <c r="L77" s="1396"/>
      <c r="M77" s="1396"/>
      <c r="N77" s="1396"/>
      <c r="O77" s="1396"/>
      <c r="P77" s="1397"/>
    </row>
    <row r="78" spans="1:17" s="139" customFormat="1" ht="11.4" customHeight="1">
      <c r="A78" s="52"/>
      <c r="B78" s="133" t="s">
        <v>2922</v>
      </c>
      <c r="C78" s="52"/>
      <c r="D78" s="133"/>
      <c r="E78" s="737"/>
      <c r="F78" s="737"/>
      <c r="G78" s="737"/>
      <c r="H78" s="737"/>
      <c r="I78" s="737"/>
      <c r="J78" s="737"/>
      <c r="K78" s="737"/>
      <c r="L78" s="737"/>
      <c r="M78" s="737"/>
      <c r="N78" s="127"/>
      <c r="O78" s="259"/>
      <c r="P78" s="3"/>
    </row>
    <row r="79" spans="1:17" s="53" customFormat="1" ht="23.4" customHeight="1">
      <c r="A79" s="1380"/>
      <c r="B79" s="1381"/>
      <c r="C79" s="1381"/>
      <c r="D79" s="1381"/>
      <c r="E79" s="1381"/>
      <c r="F79" s="1381"/>
      <c r="G79" s="1381"/>
      <c r="H79" s="1381"/>
      <c r="I79" s="1381"/>
      <c r="J79" s="1381"/>
      <c r="K79" s="1381"/>
      <c r="L79" s="1381"/>
      <c r="M79" s="1381"/>
      <c r="N79" s="1381"/>
      <c r="O79" s="1381"/>
      <c r="P79" s="1382"/>
    </row>
    <row r="80" spans="1:17" s="53" customFormat="1" ht="23.4" customHeight="1">
      <c r="A80" s="1398"/>
      <c r="B80" s="1399"/>
      <c r="C80" s="1399"/>
      <c r="D80" s="1399"/>
      <c r="E80" s="1399"/>
      <c r="F80" s="1399"/>
      <c r="G80" s="1399"/>
      <c r="H80" s="1399"/>
      <c r="I80" s="1399"/>
      <c r="J80" s="1399"/>
      <c r="K80" s="1399"/>
      <c r="L80" s="1399"/>
      <c r="M80" s="1399"/>
      <c r="N80" s="1399"/>
      <c r="O80" s="1399"/>
      <c r="P80" s="1400"/>
    </row>
    <row r="81" spans="1:18" ht="3" customHeight="1">
      <c r="B81" s="159"/>
      <c r="C81" s="159"/>
      <c r="D81" s="159"/>
      <c r="E81" s="159"/>
      <c r="R81" s="53"/>
    </row>
    <row r="82" spans="1:18" s="53" customFormat="1" ht="12.6" customHeight="1">
      <c r="A82" s="210" t="s">
        <v>743</v>
      </c>
      <c r="B82" s="143" t="s">
        <v>277</v>
      </c>
      <c r="D82" s="49"/>
      <c r="E82" s="46"/>
      <c r="F82" s="246" t="s">
        <v>626</v>
      </c>
      <c r="I82" s="1038" t="s">
        <v>3999</v>
      </c>
      <c r="J82" s="1039"/>
      <c r="K82" s="1039"/>
      <c r="L82" s="1040"/>
      <c r="M82" s="3">
        <v>3</v>
      </c>
      <c r="O82" s="96">
        <f>IF(OR(I82="Earth Craft Communities",I82="LEED-ND"),3,IF(OR(I82="Earth Craft House",I82="LEED for Homes",I82="EF Green Communities"),2,0))</f>
        <v>2</v>
      </c>
      <c r="P82" s="89"/>
      <c r="Q82" s="146" t="s">
        <v>651</v>
      </c>
    </row>
    <row r="83" spans="1:18" s="139" customFormat="1" ht="13.95" customHeight="1">
      <c r="A83" s="52"/>
      <c r="B83" s="1551" t="s">
        <v>2658</v>
      </c>
      <c r="C83" s="1531"/>
      <c r="D83" s="1531"/>
      <c r="E83" s="1531"/>
      <c r="F83" s="1531"/>
      <c r="G83" s="1531"/>
      <c r="H83" s="1531"/>
      <c r="I83" s="1531"/>
      <c r="J83" s="1531"/>
      <c r="K83" s="1531"/>
      <c r="L83" s="1531"/>
      <c r="M83" s="1531"/>
      <c r="N83" s="1"/>
      <c r="O83" s="796" t="s">
        <v>3963</v>
      </c>
      <c r="P83" s="551"/>
    </row>
    <row r="84" spans="1:18" s="598" customFormat="1" ht="34.950000000000003" customHeight="1">
      <c r="B84" s="194" t="s">
        <v>3060</v>
      </c>
      <c r="C84" s="1552" t="s">
        <v>1569</v>
      </c>
      <c r="D84" s="1404"/>
      <c r="E84" s="1404"/>
      <c r="F84" s="1404"/>
      <c r="G84" s="1404"/>
      <c r="H84" s="1404"/>
      <c r="I84" s="1404"/>
      <c r="J84" s="1404"/>
      <c r="K84" s="1404"/>
      <c r="L84" s="1404"/>
      <c r="M84" s="698" t="str">
        <f>IF(AND($I$93="Stable Communities &lt; 10%",O84=""), "X","")</f>
        <v/>
      </c>
      <c r="N84" s="221" t="s">
        <v>3060</v>
      </c>
      <c r="O84" s="797" t="s">
        <v>3982</v>
      </c>
      <c r="P84" s="703"/>
    </row>
    <row r="85" spans="1:18" s="598" customFormat="1" ht="34.950000000000003" customHeight="1">
      <c r="B85" s="194" t="s">
        <v>3063</v>
      </c>
      <c r="C85" s="1388" t="s">
        <v>1570</v>
      </c>
      <c r="D85" s="1404"/>
      <c r="E85" s="1404"/>
      <c r="F85" s="1404"/>
      <c r="G85" s="1404"/>
      <c r="H85" s="1404"/>
      <c r="I85" s="1404"/>
      <c r="J85" s="1404"/>
      <c r="K85" s="1404"/>
      <c r="L85" s="1404"/>
      <c r="M85" s="698" t="str">
        <f>IF(AND($I$93="Stable Communities &lt; 10%",O85=""), "X","")</f>
        <v/>
      </c>
      <c r="N85" s="221" t="s">
        <v>3063</v>
      </c>
      <c r="O85" s="798" t="s">
        <v>3982</v>
      </c>
      <c r="P85" s="704"/>
    </row>
    <row r="86" spans="1:18" s="139" customFormat="1" ht="11.4" customHeight="1">
      <c r="A86" s="52"/>
      <c r="B86" s="59" t="s">
        <v>333</v>
      </c>
      <c r="C86" s="52"/>
      <c r="D86" s="58"/>
      <c r="E86" s="58"/>
      <c r="F86" s="58"/>
      <c r="G86" s="58"/>
      <c r="K86" s="46"/>
      <c r="M86" s="56"/>
      <c r="N86" s="7"/>
      <c r="O86" s="4"/>
      <c r="P86" s="3"/>
    </row>
    <row r="87" spans="1:18" s="53" customFormat="1" ht="22.95" customHeight="1">
      <c r="A87" s="1544"/>
      <c r="B87" s="1545"/>
      <c r="C87" s="1545"/>
      <c r="D87" s="1545"/>
      <c r="E87" s="1545"/>
      <c r="F87" s="1545"/>
      <c r="G87" s="1545"/>
      <c r="H87" s="1545"/>
      <c r="I87" s="1545"/>
      <c r="J87" s="1545"/>
      <c r="K87" s="1545"/>
      <c r="L87" s="1545"/>
      <c r="M87" s="1545"/>
      <c r="N87" s="1545"/>
      <c r="O87" s="1545"/>
      <c r="P87" s="1546"/>
    </row>
    <row r="88" spans="1:18" s="53" customFormat="1" ht="22.95" customHeight="1">
      <c r="A88" s="1502"/>
      <c r="B88" s="1503"/>
      <c r="C88" s="1503"/>
      <c r="D88" s="1503"/>
      <c r="E88" s="1503"/>
      <c r="F88" s="1503"/>
      <c r="G88" s="1503"/>
      <c r="H88" s="1503"/>
      <c r="I88" s="1503"/>
      <c r="J88" s="1503"/>
      <c r="K88" s="1503"/>
      <c r="L88" s="1503"/>
      <c r="M88" s="1503"/>
      <c r="N88" s="1503"/>
      <c r="O88" s="1503"/>
      <c r="P88" s="1504"/>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517"/>
      <c r="B90" s="1536"/>
      <c r="C90" s="1536"/>
      <c r="D90" s="1536"/>
      <c r="E90" s="1536"/>
      <c r="F90" s="1536"/>
      <c r="G90" s="1536"/>
      <c r="H90" s="1536"/>
      <c r="I90" s="1536"/>
      <c r="J90" s="1536"/>
      <c r="K90" s="1536"/>
      <c r="L90" s="1536"/>
      <c r="M90" s="1536"/>
      <c r="N90" s="1536"/>
      <c r="O90" s="1536"/>
      <c r="P90" s="1537"/>
    </row>
    <row r="91" spans="1:18" s="53" customFormat="1" ht="24.6" customHeight="1">
      <c r="A91" s="1514"/>
      <c r="B91" s="1542"/>
      <c r="C91" s="1542"/>
      <c r="D91" s="1542"/>
      <c r="E91" s="1542"/>
      <c r="F91" s="1542"/>
      <c r="G91" s="1542"/>
      <c r="H91" s="1542"/>
      <c r="I91" s="1542"/>
      <c r="J91" s="1542"/>
      <c r="K91" s="1542"/>
      <c r="L91" s="1542"/>
      <c r="M91" s="1542"/>
      <c r="N91" s="1542"/>
      <c r="O91" s="1542"/>
      <c r="P91" s="154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3641</v>
      </c>
      <c r="C93" s="126"/>
      <c r="D93" s="74"/>
      <c r="E93" s="74"/>
      <c r="I93" s="1038" t="s">
        <v>4000</v>
      </c>
      <c r="J93" s="1039"/>
      <c r="K93" s="1039"/>
      <c r="L93" s="1040"/>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550" t="s">
        <v>508</v>
      </c>
      <c r="B94" s="1550"/>
      <c r="C94" s="1550"/>
      <c r="D94" s="1550"/>
      <c r="E94" s="1550"/>
      <c r="F94" s="1550"/>
      <c r="G94" s="1550"/>
      <c r="H94" s="1550"/>
      <c r="I94" s="1550"/>
      <c r="J94" s="1550"/>
      <c r="K94" s="1550"/>
      <c r="L94" s="1550"/>
      <c r="M94" s="1550"/>
      <c r="N94" s="1550"/>
      <c r="O94" s="1550"/>
      <c r="P94" s="1550"/>
    </row>
    <row r="95" spans="1:18" ht="11.4" customHeight="1">
      <c r="A95" s="189" t="s">
        <v>3060</v>
      </c>
      <c r="B95" s="256" t="s">
        <v>3794</v>
      </c>
      <c r="D95" s="42"/>
      <c r="H95" s="76"/>
      <c r="I95" s="42"/>
      <c r="J95" s="42"/>
      <c r="M95" s="156">
        <v>4</v>
      </c>
      <c r="N95" s="31"/>
      <c r="O95" s="31"/>
      <c r="P95" s="31"/>
    </row>
    <row r="96" spans="1:18" ht="11.4" customHeight="1">
      <c r="A96" s="564" t="str">
        <f>IF($I$93="Stable Communities &lt; 10%", "X","")</f>
        <v>X</v>
      </c>
      <c r="B96" s="565" t="s">
        <v>3064</v>
      </c>
      <c r="C96" s="235" t="s">
        <v>867</v>
      </c>
      <c r="E96" s="159"/>
      <c r="N96" s="31"/>
      <c r="O96" s="161" t="s">
        <v>3795</v>
      </c>
      <c r="P96" s="161" t="s">
        <v>3795</v>
      </c>
    </row>
    <row r="97" spans="1:16" ht="11.4" customHeight="1">
      <c r="B97" s="233" t="s">
        <v>3682</v>
      </c>
      <c r="C97" s="584" t="s">
        <v>3622</v>
      </c>
      <c r="E97" s="159"/>
      <c r="G97" s="137" t="s">
        <v>3623</v>
      </c>
      <c r="M97" s="590" t="str">
        <f>IF(AND($I$93="Stable Communities &lt; 10%",O97=""), "X","")</f>
        <v/>
      </c>
      <c r="N97" s="233" t="s">
        <v>3682</v>
      </c>
      <c r="O97" s="799" t="s">
        <v>3963</v>
      </c>
      <c r="P97" s="354"/>
    </row>
    <row r="98" spans="1:16" ht="11.4" customHeight="1">
      <c r="B98" s="233" t="s">
        <v>3683</v>
      </c>
      <c r="C98" s="585" t="s">
        <v>3624</v>
      </c>
      <c r="E98" s="159"/>
      <c r="G98" s="137" t="s">
        <v>3625</v>
      </c>
      <c r="M98" s="590" t="str">
        <f>IF(AND($I$93="Stable Communities &lt; 10%",O98=""), "X","")</f>
        <v/>
      </c>
      <c r="N98" s="233" t="s">
        <v>3683</v>
      </c>
      <c r="O98" s="796" t="s">
        <v>3963</v>
      </c>
      <c r="P98" s="551"/>
    </row>
    <row r="99" spans="1:16" ht="11.4" customHeight="1">
      <c r="B99" s="233" t="s">
        <v>3684</v>
      </c>
      <c r="C99" s="585" t="s">
        <v>2190</v>
      </c>
      <c r="E99" s="159"/>
      <c r="M99" s="590" t="str">
        <f>IF(AND($I$93="Stable Communities &lt; 10%",O99=""), "X","")</f>
        <v/>
      </c>
      <c r="N99" s="233" t="s">
        <v>3686</v>
      </c>
      <c r="O99" s="800" t="s">
        <v>3963</v>
      </c>
      <c r="P99" s="355"/>
    </row>
    <row r="100" spans="1:16" ht="11.4" customHeight="1">
      <c r="A100" s="564" t="str">
        <f>IF($I$93="Stable Communities &lt; 20%", "X","")</f>
        <v/>
      </c>
      <c r="B100" s="565" t="s">
        <v>3066</v>
      </c>
      <c r="C100" s="235" t="s">
        <v>867</v>
      </c>
      <c r="E100" s="159"/>
      <c r="M100" s="591"/>
      <c r="N100" s="31"/>
      <c r="O100" s="161" t="s">
        <v>3795</v>
      </c>
      <c r="P100" s="161" t="s">
        <v>3795</v>
      </c>
    </row>
    <row r="101" spans="1:16" ht="11.4" customHeight="1">
      <c r="B101" s="233" t="s">
        <v>3682</v>
      </c>
      <c r="C101" s="584" t="s">
        <v>3707</v>
      </c>
      <c r="E101" s="159"/>
      <c r="G101" s="137" t="s">
        <v>3626</v>
      </c>
      <c r="M101" s="590" t="str">
        <f>IF(AND($I$93="Stable Communities &lt; 20%",O101=""), "X","")</f>
        <v/>
      </c>
      <c r="N101" s="233" t="s">
        <v>3682</v>
      </c>
      <c r="O101" s="799" t="s">
        <v>2253</v>
      </c>
      <c r="P101" s="354"/>
    </row>
    <row r="102" spans="1:16" ht="11.4" customHeight="1">
      <c r="B102" s="233" t="s">
        <v>3683</v>
      </c>
      <c r="C102" s="585" t="s">
        <v>3624</v>
      </c>
      <c r="E102" s="159"/>
      <c r="G102" s="137" t="s">
        <v>3625</v>
      </c>
      <c r="M102" s="590" t="str">
        <f>IF(AND($I$93="Stable Communities &lt; 20%",O102=""), "X","")</f>
        <v/>
      </c>
      <c r="N102" s="233" t="s">
        <v>3683</v>
      </c>
      <c r="O102" s="796" t="s">
        <v>2253</v>
      </c>
      <c r="P102" s="551"/>
    </row>
    <row r="103" spans="1:16" ht="11.4" customHeight="1">
      <c r="B103" s="233" t="s">
        <v>3684</v>
      </c>
      <c r="C103" s="585" t="s">
        <v>2190</v>
      </c>
      <c r="E103" s="159"/>
      <c r="M103" s="590" t="str">
        <f>IF(AND($I$93="Stable Communities &lt; 20%",O103=""), "X","")</f>
        <v/>
      </c>
      <c r="N103" s="233" t="s">
        <v>3686</v>
      </c>
      <c r="O103" s="800" t="s">
        <v>2253</v>
      </c>
      <c r="P103" s="355"/>
    </row>
    <row r="104" spans="1:16" ht="11.4" customHeight="1">
      <c r="A104" s="189" t="s">
        <v>3063</v>
      </c>
      <c r="B104" s="256" t="s">
        <v>346</v>
      </c>
      <c r="D104" s="42"/>
      <c r="E104" s="42"/>
      <c r="F104" s="42"/>
      <c r="H104" s="76"/>
      <c r="M104" s="70">
        <v>6</v>
      </c>
      <c r="N104" s="31"/>
      <c r="O104" s="31"/>
      <c r="P104" s="31"/>
    </row>
    <row r="105" spans="1:16" s="53" customFormat="1" ht="11.4"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5" customHeight="1">
      <c r="B106" s="566" t="s">
        <v>3682</v>
      </c>
      <c r="C106" s="567" t="s">
        <v>913</v>
      </c>
      <c r="D106" s="137"/>
      <c r="M106" s="589" t="str">
        <f>IF(AND($I$93="HOPE VI Initiative",O106=""), "X","")</f>
        <v/>
      </c>
      <c r="N106" s="233" t="s">
        <v>3682</v>
      </c>
      <c r="O106" s="799" t="s">
        <v>2253</v>
      </c>
      <c r="P106" s="354"/>
    </row>
    <row r="107" spans="1:16" ht="10.95" customHeight="1">
      <c r="B107" s="566" t="s">
        <v>3683</v>
      </c>
      <c r="C107" s="567" t="s">
        <v>914</v>
      </c>
      <c r="M107" s="589" t="str">
        <f>IF(AND($I$93="HOPE VI Initiative",O107=""), "X","")</f>
        <v/>
      </c>
      <c r="N107" s="233" t="s">
        <v>3683</v>
      </c>
      <c r="O107" s="796" t="s">
        <v>2253</v>
      </c>
      <c r="P107" s="551"/>
    </row>
    <row r="108" spans="1:16" ht="10.95" customHeight="1">
      <c r="B108" s="566" t="s">
        <v>3684</v>
      </c>
      <c r="C108" s="567" t="s">
        <v>915</v>
      </c>
      <c r="M108" s="589" t="str">
        <f>IF(AND($I$93="HOPE VI Initiative",O108=""), "X","")</f>
        <v/>
      </c>
      <c r="N108" s="233" t="s">
        <v>3684</v>
      </c>
      <c r="O108" s="796" t="s">
        <v>2253</v>
      </c>
      <c r="P108" s="551"/>
    </row>
    <row r="109" spans="1:16" ht="10.95" customHeight="1">
      <c r="B109" s="566" t="s">
        <v>3685</v>
      </c>
      <c r="C109" s="72" t="s">
        <v>916</v>
      </c>
      <c r="M109" s="589" t="str">
        <f>IF(AND($I$93="HOPE VI Initiative",O109=""), "X","")</f>
        <v/>
      </c>
      <c r="N109" s="233" t="s">
        <v>3685</v>
      </c>
      <c r="O109" s="800" t="s">
        <v>2253</v>
      </c>
      <c r="P109" s="355"/>
    </row>
    <row r="110" spans="1:16" s="53" customFormat="1" ht="11.4" customHeight="1">
      <c r="A110" s="564"/>
      <c r="B110" s="565" t="s">
        <v>3066</v>
      </c>
      <c r="C110" s="153" t="s">
        <v>539</v>
      </c>
      <c r="D110" s="139"/>
      <c r="E110" s="50"/>
      <c r="G110" s="594" t="s">
        <v>920</v>
      </c>
      <c r="M110" s="70"/>
      <c r="N110" s="565" t="s">
        <v>3066</v>
      </c>
      <c r="O110" s="800" t="s">
        <v>2253</v>
      </c>
      <c r="P110" s="355"/>
    </row>
    <row r="111" spans="1:16" s="53" customFormat="1" ht="11.4" customHeight="1">
      <c r="A111" s="564" t="str">
        <f>IF($I$93="Redevelopment Zone", "X","")</f>
        <v/>
      </c>
      <c r="B111" s="565" t="s">
        <v>3823</v>
      </c>
      <c r="C111" s="153" t="s">
        <v>540</v>
      </c>
      <c r="D111" s="139"/>
      <c r="F111" s="589"/>
      <c r="G111" s="50" t="s">
        <v>1650</v>
      </c>
      <c r="H111" s="801" t="s">
        <v>2800</v>
      </c>
      <c r="I111" s="161" t="s">
        <v>1562</v>
      </c>
      <c r="J111" s="1539"/>
      <c r="K111" s="1540"/>
      <c r="L111" s="1541"/>
      <c r="M111" s="70"/>
      <c r="N111" s="565" t="s">
        <v>3823</v>
      </c>
      <c r="O111" s="800" t="s">
        <v>2253</v>
      </c>
      <c r="P111" s="355"/>
    </row>
    <row r="112" spans="1:16" s="53" customFormat="1" ht="11.4" customHeight="1">
      <c r="A112" s="564" t="str">
        <f>IF($I$93="Local Redevelopment Plan", "X","")</f>
        <v/>
      </c>
      <c r="B112" s="565" t="s">
        <v>1885</v>
      </c>
      <c r="C112" s="153" t="s">
        <v>917</v>
      </c>
      <c r="D112" s="139"/>
      <c r="E112" s="50"/>
      <c r="F112" s="589"/>
      <c r="G112" s="50" t="s">
        <v>636</v>
      </c>
      <c r="H112" s="1538"/>
      <c r="I112" s="1047"/>
      <c r="J112" s="1047"/>
      <c r="K112" s="1047"/>
      <c r="L112" s="1048"/>
      <c r="M112" s="70"/>
      <c r="N112" s="565" t="s">
        <v>1885</v>
      </c>
      <c r="O112" s="800" t="s">
        <v>2253</v>
      </c>
      <c r="P112" s="355"/>
    </row>
    <row r="113" spans="1:16" ht="11.4" customHeight="1">
      <c r="B113" s="566" t="s">
        <v>3682</v>
      </c>
      <c r="C113" s="50" t="s">
        <v>921</v>
      </c>
      <c r="D113" s="137"/>
      <c r="G113" s="137" t="s">
        <v>919</v>
      </c>
      <c r="H113" s="802"/>
      <c r="M113" s="589" t="str">
        <f>IF(AND($I$93="Local Redevelopment Plan",O113=""), "X","")</f>
        <v/>
      </c>
      <c r="N113" s="566" t="s">
        <v>3682</v>
      </c>
      <c r="O113" s="799" t="s">
        <v>2253</v>
      </c>
      <c r="P113" s="354"/>
    </row>
    <row r="114" spans="1:16" ht="10.95" customHeight="1">
      <c r="B114" s="566" t="s">
        <v>3683</v>
      </c>
      <c r="C114" s="567" t="s">
        <v>3711</v>
      </c>
      <c r="D114" s="137"/>
      <c r="M114" s="589"/>
      <c r="N114" s="566" t="s">
        <v>3683</v>
      </c>
      <c r="O114" s="803" t="s">
        <v>2253</v>
      </c>
      <c r="P114" s="617"/>
    </row>
    <row r="115" spans="1:16" ht="10.95" customHeight="1">
      <c r="B115" s="566" t="s">
        <v>3684</v>
      </c>
      <c r="C115" s="567" t="s">
        <v>3712</v>
      </c>
      <c r="M115" s="589" t="str">
        <f t="shared" ref="M115:M124" si="0">IF(AND($I$93="Local Redevelopment Plan",O115=""), "X","")</f>
        <v/>
      </c>
      <c r="N115" s="566" t="s">
        <v>3684</v>
      </c>
      <c r="O115" s="796" t="s">
        <v>2253</v>
      </c>
      <c r="P115" s="551"/>
    </row>
    <row r="116" spans="1:16" ht="10.95" customHeight="1">
      <c r="B116" s="566" t="s">
        <v>3685</v>
      </c>
      <c r="C116" s="567" t="s">
        <v>3713</v>
      </c>
      <c r="M116" s="589" t="str">
        <f t="shared" si="0"/>
        <v/>
      </c>
      <c r="N116" s="566" t="s">
        <v>3685</v>
      </c>
      <c r="O116" s="796" t="s">
        <v>2253</v>
      </c>
      <c r="P116" s="551"/>
    </row>
    <row r="117" spans="1:16" ht="10.95" customHeight="1">
      <c r="B117" s="566" t="s">
        <v>3686</v>
      </c>
      <c r="C117" s="72" t="s">
        <v>3714</v>
      </c>
      <c r="M117" s="589" t="str">
        <f t="shared" si="0"/>
        <v/>
      </c>
      <c r="N117" s="566" t="s">
        <v>3686</v>
      </c>
      <c r="O117" s="796" t="s">
        <v>2253</v>
      </c>
      <c r="P117" s="551"/>
    </row>
    <row r="118" spans="1:16" ht="10.95" customHeight="1">
      <c r="B118" s="566" t="s">
        <v>3709</v>
      </c>
      <c r="C118" s="567" t="s">
        <v>3715</v>
      </c>
      <c r="D118" s="137"/>
      <c r="M118" s="589" t="str">
        <f t="shared" si="0"/>
        <v/>
      </c>
      <c r="N118" s="566" t="s">
        <v>3709</v>
      </c>
      <c r="O118" s="796" t="s">
        <v>2253</v>
      </c>
      <c r="P118" s="551"/>
    </row>
    <row r="119" spans="1:16" ht="10.95" customHeight="1">
      <c r="B119" s="566" t="s">
        <v>3710</v>
      </c>
      <c r="C119" s="567" t="s">
        <v>3716</v>
      </c>
      <c r="M119" s="589" t="str">
        <f t="shared" si="0"/>
        <v/>
      </c>
      <c r="N119" s="566" t="s">
        <v>3710</v>
      </c>
      <c r="O119" s="800" t="s">
        <v>2253</v>
      </c>
      <c r="P119" s="355"/>
    </row>
    <row r="120" spans="1:16" ht="11.4" customHeight="1">
      <c r="A120" s="564" t="str">
        <f>IF($I$93="Stable Communities &lt; 20%", "X","")</f>
        <v/>
      </c>
      <c r="B120" s="584" t="s">
        <v>3720</v>
      </c>
      <c r="E120" s="159"/>
      <c r="M120" s="591"/>
      <c r="N120" s="31"/>
      <c r="O120" s="161" t="s">
        <v>3795</v>
      </c>
      <c r="P120" s="161" t="s">
        <v>3795</v>
      </c>
    </row>
    <row r="121" spans="1:16" ht="10.95" customHeight="1">
      <c r="B121" s="566" t="s">
        <v>3717</v>
      </c>
      <c r="C121" s="567" t="s">
        <v>3721</v>
      </c>
      <c r="M121" s="589" t="str">
        <f t="shared" si="0"/>
        <v/>
      </c>
      <c r="N121" s="566" t="s">
        <v>3717</v>
      </c>
      <c r="O121" s="799" t="s">
        <v>2253</v>
      </c>
      <c r="P121" s="354"/>
    </row>
    <row r="122" spans="1:16" ht="10.95" customHeight="1">
      <c r="B122" s="566" t="s">
        <v>3718</v>
      </c>
      <c r="C122" s="72" t="s">
        <v>3722</v>
      </c>
      <c r="M122" s="589" t="str">
        <f t="shared" si="0"/>
        <v/>
      </c>
      <c r="N122" s="566" t="s">
        <v>3718</v>
      </c>
      <c r="O122" s="796" t="s">
        <v>2253</v>
      </c>
      <c r="P122" s="551"/>
    </row>
    <row r="123" spans="1:16" ht="10.95" customHeight="1">
      <c r="B123" s="566" t="s">
        <v>3719</v>
      </c>
      <c r="C123" s="567" t="s">
        <v>3723</v>
      </c>
      <c r="M123" s="589" t="str">
        <f t="shared" si="0"/>
        <v/>
      </c>
      <c r="N123" s="566" t="s">
        <v>3719</v>
      </c>
      <c r="O123" s="796" t="s">
        <v>2253</v>
      </c>
      <c r="P123" s="551"/>
    </row>
    <row r="124" spans="1:16" ht="10.95" customHeight="1">
      <c r="B124" s="566" t="s">
        <v>918</v>
      </c>
      <c r="C124" s="72" t="s">
        <v>3724</v>
      </c>
      <c r="M124" s="589" t="str">
        <f t="shared" si="0"/>
        <v/>
      </c>
      <c r="N124" s="566" t="s">
        <v>918</v>
      </c>
      <c r="O124" s="800" t="s">
        <v>2253</v>
      </c>
      <c r="P124" s="355"/>
    </row>
    <row r="125" spans="1:16" s="53" customFormat="1" ht="13.95" customHeight="1">
      <c r="A125" s="52"/>
      <c r="B125" s="59" t="s">
        <v>333</v>
      </c>
      <c r="C125" s="52"/>
      <c r="D125" s="58"/>
      <c r="E125" s="58"/>
      <c r="F125" s="58"/>
      <c r="G125" s="58"/>
      <c r="H125" s="46"/>
      <c r="I125" s="46"/>
      <c r="J125" s="46"/>
      <c r="K125" s="46"/>
      <c r="M125" s="56"/>
      <c r="N125" s="77"/>
      <c r="O125" s="4"/>
      <c r="P125" s="33"/>
    </row>
    <row r="126" spans="1:16" s="53" customFormat="1" ht="23.4" customHeight="1">
      <c r="A126" s="1544"/>
      <c r="B126" s="1545"/>
      <c r="C126" s="1545"/>
      <c r="D126" s="1545"/>
      <c r="E126" s="1545"/>
      <c r="F126" s="1545"/>
      <c r="G126" s="1545"/>
      <c r="H126" s="1545"/>
      <c r="I126" s="1545"/>
      <c r="J126" s="1545"/>
      <c r="K126" s="1545"/>
      <c r="L126" s="1545"/>
      <c r="M126" s="1545"/>
      <c r="N126" s="1545"/>
      <c r="O126" s="1545"/>
      <c r="P126" s="1546"/>
    </row>
    <row r="127" spans="1:16" s="53" customFormat="1" ht="23.4" customHeight="1">
      <c r="A127" s="1502"/>
      <c r="B127" s="1503"/>
      <c r="C127" s="1503"/>
      <c r="D127" s="1503"/>
      <c r="E127" s="1503"/>
      <c r="F127" s="1503"/>
      <c r="G127" s="1503"/>
      <c r="H127" s="1503"/>
      <c r="I127" s="1503"/>
      <c r="J127" s="1503"/>
      <c r="K127" s="1503"/>
      <c r="L127" s="1503"/>
      <c r="M127" s="1503"/>
      <c r="N127" s="1503"/>
      <c r="O127" s="1503"/>
      <c r="P127" s="1504"/>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 customHeight="1">
      <c r="A129" s="1517"/>
      <c r="B129" s="1536"/>
      <c r="C129" s="1536"/>
      <c r="D129" s="1536"/>
      <c r="E129" s="1536"/>
      <c r="F129" s="1536"/>
      <c r="G129" s="1536"/>
      <c r="H129" s="1536"/>
      <c r="I129" s="1536"/>
      <c r="J129" s="1536"/>
      <c r="K129" s="1536"/>
      <c r="L129" s="1536"/>
      <c r="M129" s="1536"/>
      <c r="N129" s="1536"/>
      <c r="O129" s="1536"/>
      <c r="P129" s="1537"/>
    </row>
    <row r="130" spans="1:17" s="53" customFormat="1" ht="23.4" customHeight="1">
      <c r="A130" s="1514"/>
      <c r="B130" s="1542"/>
      <c r="C130" s="1542"/>
      <c r="D130" s="1542"/>
      <c r="E130" s="1542"/>
      <c r="F130" s="1542"/>
      <c r="G130" s="1542"/>
      <c r="H130" s="1542"/>
      <c r="I130" s="1542"/>
      <c r="J130" s="1542"/>
      <c r="K130" s="1542"/>
      <c r="L130" s="1542"/>
      <c r="M130" s="1542"/>
      <c r="N130" s="1542"/>
      <c r="O130" s="1542"/>
      <c r="P130" s="1543"/>
    </row>
    <row r="131" spans="1:17" ht="3.6" customHeight="1">
      <c r="B131" s="159"/>
      <c r="C131" s="159"/>
      <c r="D131" s="159"/>
      <c r="E131" s="159"/>
    </row>
    <row r="132" spans="1:17" s="53" customFormat="1" ht="12" customHeight="1">
      <c r="A132" s="210" t="s">
        <v>279</v>
      </c>
      <c r="B132" s="142" t="s">
        <v>3725</v>
      </c>
      <c r="D132" s="51"/>
      <c r="E132" s="51"/>
      <c r="F132" s="51"/>
      <c r="H132" s="76"/>
      <c r="J132" s="76" t="s">
        <v>504</v>
      </c>
      <c r="K132" s="58"/>
      <c r="M132" s="3">
        <v>3</v>
      </c>
      <c r="N132" s="7"/>
      <c r="O132" s="96">
        <f>MIN($M132,(O133+O139))</f>
        <v>3</v>
      </c>
      <c r="P132" s="96">
        <f>MIN($M132,(P133+P139))</f>
        <v>3</v>
      </c>
      <c r="Q132" s="146" t="s">
        <v>651</v>
      </c>
    </row>
    <row r="133" spans="1:17" ht="12" customHeight="1">
      <c r="B133" s="738"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804">
        <v>3</v>
      </c>
      <c r="P133" s="696"/>
    </row>
    <row r="134" spans="1:17" s="137" customFormat="1" ht="22.95" customHeight="1">
      <c r="B134" s="596" t="s">
        <v>3064</v>
      </c>
      <c r="C134" s="1523" t="s">
        <v>1564</v>
      </c>
      <c r="D134" s="1404"/>
      <c r="E134" s="1404"/>
      <c r="F134" s="1404"/>
      <c r="G134" s="1404"/>
      <c r="H134" s="1404"/>
      <c r="I134" s="1404"/>
      <c r="J134" s="1404"/>
      <c r="K134" s="1404"/>
      <c r="L134" s="1404"/>
      <c r="M134" s="695"/>
      <c r="N134" s="596" t="s">
        <v>3064</v>
      </c>
      <c r="O134" s="795" t="s">
        <v>3965</v>
      </c>
      <c r="P134" s="234"/>
    </row>
    <row r="135" spans="1:17" s="137" customFormat="1" ht="11.4" customHeight="1">
      <c r="B135" s="252"/>
      <c r="C135" s="160" t="s">
        <v>1565</v>
      </c>
      <c r="H135" s="137" t="s">
        <v>1563</v>
      </c>
      <c r="I135" s="805"/>
      <c r="J135" s="137" t="s">
        <v>951</v>
      </c>
      <c r="K135" s="1560"/>
      <c r="L135" s="1561"/>
      <c r="M135" s="1562"/>
    </row>
    <row r="136" spans="1:17" s="137" customFormat="1" ht="11.4" customHeight="1">
      <c r="B136" s="252" t="s">
        <v>3066</v>
      </c>
      <c r="C136" s="160" t="s">
        <v>1566</v>
      </c>
      <c r="M136" s="8"/>
      <c r="N136" s="252" t="s">
        <v>3066</v>
      </c>
      <c r="O136" s="799" t="s">
        <v>2253</v>
      </c>
      <c r="P136" s="354"/>
    </row>
    <row r="137" spans="1:17" s="137" customFormat="1" ht="11.4" customHeight="1">
      <c r="B137" s="252" t="s">
        <v>3823</v>
      </c>
      <c r="C137" s="160" t="s">
        <v>1567</v>
      </c>
      <c r="M137" s="8"/>
      <c r="N137" s="252" t="s">
        <v>3823</v>
      </c>
      <c r="O137" s="796" t="s">
        <v>2253</v>
      </c>
      <c r="P137" s="551"/>
    </row>
    <row r="138" spans="1:17" s="137" customFormat="1" ht="11.4" customHeight="1">
      <c r="B138" s="252" t="s">
        <v>1885</v>
      </c>
      <c r="C138" s="160" t="s">
        <v>1568</v>
      </c>
      <c r="M138" s="8"/>
      <c r="N138" s="252" t="s">
        <v>1885</v>
      </c>
      <c r="O138" s="800" t="s">
        <v>2253</v>
      </c>
      <c r="P138" s="355"/>
    </row>
    <row r="139" spans="1:17" ht="12" customHeight="1">
      <c r="A139" s="256" t="s">
        <v>2055</v>
      </c>
      <c r="B139" s="738"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734</v>
      </c>
      <c r="M140" s="795">
        <v>4</v>
      </c>
      <c r="N140" s="183" t="s">
        <v>735</v>
      </c>
      <c r="O140" s="139"/>
      <c r="P140" s="139"/>
    </row>
    <row r="141" spans="1:17" s="53" customFormat="1" ht="11.4" customHeight="1">
      <c r="A141" s="52"/>
      <c r="B141" s="59" t="s">
        <v>333</v>
      </c>
      <c r="C141" s="52"/>
      <c r="D141" s="58"/>
      <c r="E141" s="58"/>
      <c r="F141" s="58"/>
      <c r="G141" s="58"/>
      <c r="H141" s="46"/>
      <c r="I141" s="46"/>
      <c r="J141" s="46"/>
      <c r="K141" s="46"/>
      <c r="M141" s="56"/>
      <c r="N141" s="77"/>
      <c r="O141" s="4"/>
      <c r="P141" s="33"/>
    </row>
    <row r="142" spans="1:17" s="53" customFormat="1" ht="11.4" customHeight="1">
      <c r="A142" s="1395"/>
      <c r="B142" s="1396"/>
      <c r="C142" s="1396"/>
      <c r="D142" s="1396"/>
      <c r="E142" s="1396"/>
      <c r="F142" s="1396"/>
      <c r="G142" s="1396"/>
      <c r="H142" s="1396"/>
      <c r="I142" s="1396"/>
      <c r="J142" s="1396"/>
      <c r="K142" s="1396"/>
      <c r="L142" s="1396"/>
      <c r="M142" s="1396"/>
      <c r="N142" s="1396"/>
      <c r="O142" s="1396"/>
      <c r="P142" s="1397"/>
    </row>
    <row r="143" spans="1:17" s="53" customFormat="1" ht="11.4" customHeight="1">
      <c r="B143" s="117" t="s">
        <v>2922</v>
      </c>
      <c r="C143" s="135"/>
      <c r="D143" s="117"/>
      <c r="E143" s="136"/>
      <c r="F143" s="740"/>
      <c r="G143" s="740"/>
      <c r="H143" s="740"/>
      <c r="I143" s="740"/>
      <c r="J143" s="740"/>
      <c r="K143" s="740"/>
      <c r="L143" s="740"/>
      <c r="M143" s="740"/>
      <c r="N143" s="94"/>
      <c r="O143" s="90"/>
      <c r="P143" s="3"/>
    </row>
    <row r="144" spans="1:17" s="53" customFormat="1" ht="11.4" customHeight="1">
      <c r="A144" s="1438"/>
      <c r="B144" s="1439"/>
      <c r="C144" s="1439"/>
      <c r="D144" s="1439"/>
      <c r="E144" s="1439"/>
      <c r="F144" s="1439"/>
      <c r="G144" s="1439"/>
      <c r="H144" s="1439"/>
      <c r="I144" s="1439"/>
      <c r="J144" s="1439"/>
      <c r="K144" s="1439"/>
      <c r="L144" s="1439"/>
      <c r="M144" s="1439"/>
      <c r="N144" s="1439"/>
      <c r="O144" s="1439"/>
      <c r="P144" s="1440"/>
    </row>
    <row r="145" spans="1:17" ht="8.4"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794">
        <v>2</v>
      </c>
      <c r="P146" s="89"/>
      <c r="Q146" s="146" t="s">
        <v>651</v>
      </c>
    </row>
    <row r="147" spans="1:17" ht="11.4" customHeight="1">
      <c r="B147" s="235" t="s">
        <v>2666</v>
      </c>
      <c r="E147" s="159"/>
      <c r="M147" s="591"/>
      <c r="N147" s="31"/>
      <c r="O147" s="31"/>
      <c r="P147" s="161" t="s">
        <v>3795</v>
      </c>
    </row>
    <row r="148" spans="1:17" ht="11.4" customHeight="1">
      <c r="A148" s="566" t="s">
        <v>3682</v>
      </c>
      <c r="B148" s="567" t="s">
        <v>3727</v>
      </c>
      <c r="D148" s="137"/>
      <c r="M148" s="589"/>
      <c r="N148" s="566"/>
      <c r="O148" s="566" t="s">
        <v>3682</v>
      </c>
      <c r="P148" s="354"/>
    </row>
    <row r="149" spans="1:17" ht="23.4" customHeight="1">
      <c r="A149" s="593" t="s">
        <v>3683</v>
      </c>
      <c r="B149" s="1511" t="s">
        <v>3728</v>
      </c>
      <c r="C149" s="1404"/>
      <c r="D149" s="1404"/>
      <c r="E149" s="1404"/>
      <c r="F149" s="1404"/>
      <c r="G149" s="1404"/>
      <c r="H149" s="1404"/>
      <c r="I149" s="1404"/>
      <c r="J149" s="1404"/>
      <c r="K149" s="1404"/>
      <c r="L149" s="1404"/>
      <c r="M149" s="1404"/>
      <c r="N149" s="1404"/>
      <c r="O149" s="566" t="s">
        <v>3683</v>
      </c>
      <c r="P149" s="551"/>
    </row>
    <row r="150" spans="1:17" ht="11.4" customHeight="1">
      <c r="A150" s="566" t="s">
        <v>3684</v>
      </c>
      <c r="B150" s="567" t="s">
        <v>3729</v>
      </c>
      <c r="M150" s="589"/>
      <c r="N150" s="566"/>
      <c r="O150" s="566" t="s">
        <v>3684</v>
      </c>
      <c r="P150" s="551"/>
    </row>
    <row r="151" spans="1:17" ht="11.4" customHeight="1">
      <c r="A151" s="566" t="s">
        <v>3685</v>
      </c>
      <c r="B151" s="72" t="s">
        <v>3340</v>
      </c>
      <c r="M151" s="589"/>
      <c r="N151" s="566"/>
      <c r="O151" s="566" t="s">
        <v>3685</v>
      </c>
      <c r="P151" s="551"/>
    </row>
    <row r="152" spans="1:17" ht="23.4" customHeight="1">
      <c r="A152" s="593" t="s">
        <v>3686</v>
      </c>
      <c r="B152" s="1511" t="s">
        <v>3341</v>
      </c>
      <c r="C152" s="1404"/>
      <c r="D152" s="1404"/>
      <c r="E152" s="1404"/>
      <c r="F152" s="1404"/>
      <c r="G152" s="1404"/>
      <c r="H152" s="1404"/>
      <c r="I152" s="1404"/>
      <c r="J152" s="1404"/>
      <c r="K152" s="1404"/>
      <c r="L152" s="1404"/>
      <c r="M152" s="1404"/>
      <c r="N152" s="1404"/>
      <c r="O152" s="566" t="s">
        <v>3686</v>
      </c>
      <c r="P152" s="551"/>
    </row>
    <row r="153" spans="1:17" ht="11.4" customHeight="1">
      <c r="A153" s="566" t="s">
        <v>3709</v>
      </c>
      <c r="B153" s="567" t="s">
        <v>3342</v>
      </c>
      <c r="M153" s="589"/>
      <c r="N153" s="566"/>
      <c r="O153" s="566" t="s">
        <v>3709</v>
      </c>
      <c r="P153" s="551"/>
    </row>
    <row r="154" spans="1:17" ht="11.4" customHeight="1">
      <c r="A154" s="566" t="s">
        <v>3710</v>
      </c>
      <c r="B154" s="567" t="s">
        <v>2667</v>
      </c>
      <c r="M154" s="589"/>
      <c r="N154" s="566"/>
      <c r="O154" s="566" t="s">
        <v>3710</v>
      </c>
      <c r="P154" s="551"/>
    </row>
    <row r="155" spans="1:17" ht="11.4" customHeight="1">
      <c r="A155" s="566" t="s">
        <v>3717</v>
      </c>
      <c r="B155" s="72" t="s">
        <v>2668</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389"/>
      <c r="B157" s="1390"/>
      <c r="C157" s="1390"/>
      <c r="D157" s="1390"/>
      <c r="E157" s="1390"/>
      <c r="F157" s="1390"/>
      <c r="G157" s="1390"/>
      <c r="H157" s="1390"/>
      <c r="I157" s="1390"/>
      <c r="J157" s="1390"/>
      <c r="K157" s="1390"/>
      <c r="L157" s="1390"/>
      <c r="M157" s="1390"/>
      <c r="N157" s="1390"/>
      <c r="O157" s="1390"/>
      <c r="P157" s="1391"/>
    </row>
    <row r="158" spans="1:17" s="53" customFormat="1" ht="24.6" customHeight="1">
      <c r="A158" s="1383"/>
      <c r="B158" s="1384"/>
      <c r="C158" s="1384"/>
      <c r="D158" s="1384"/>
      <c r="E158" s="1384"/>
      <c r="F158" s="1384"/>
      <c r="G158" s="1384"/>
      <c r="H158" s="1384"/>
      <c r="I158" s="1384"/>
      <c r="J158" s="1384"/>
      <c r="K158" s="1384"/>
      <c r="L158" s="1384"/>
      <c r="M158" s="1384"/>
      <c r="N158" s="1384"/>
      <c r="O158" s="1384"/>
      <c r="P158" s="1385"/>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1380"/>
      <c r="B160" s="1381"/>
      <c r="C160" s="1381"/>
      <c r="D160" s="1381"/>
      <c r="E160" s="1381"/>
      <c r="F160" s="1381"/>
      <c r="G160" s="1381"/>
      <c r="H160" s="1381"/>
      <c r="I160" s="1381"/>
      <c r="J160" s="1381"/>
      <c r="K160" s="1381"/>
      <c r="L160" s="1381"/>
      <c r="M160" s="1381"/>
      <c r="N160" s="1381"/>
      <c r="O160" s="1381"/>
      <c r="P160" s="1382"/>
    </row>
    <row r="161" spans="1:18" s="53" customFormat="1" ht="24" customHeight="1">
      <c r="A161" s="1412"/>
      <c r="B161" s="1413"/>
      <c r="C161" s="1413"/>
      <c r="D161" s="1413"/>
      <c r="E161" s="1413"/>
      <c r="F161" s="1413"/>
      <c r="G161" s="1413"/>
      <c r="H161" s="1413"/>
      <c r="I161" s="1413"/>
      <c r="J161" s="1413"/>
      <c r="K161" s="1413"/>
      <c r="L161" s="1413"/>
      <c r="M161" s="1413"/>
      <c r="N161" s="1413"/>
      <c r="O161" s="1413"/>
      <c r="P161" s="1414"/>
    </row>
    <row r="162" spans="1:18" s="53" customFormat="1" ht="24" customHeight="1">
      <c r="A162" s="1412"/>
      <c r="B162" s="1413"/>
      <c r="C162" s="1413"/>
      <c r="D162" s="1413"/>
      <c r="E162" s="1413"/>
      <c r="F162" s="1413"/>
      <c r="G162" s="1413"/>
      <c r="H162" s="1413"/>
      <c r="I162" s="1413"/>
      <c r="J162" s="1413"/>
      <c r="K162" s="1413"/>
      <c r="L162" s="1413"/>
      <c r="M162" s="1413"/>
      <c r="N162" s="1413"/>
      <c r="O162" s="1413"/>
      <c r="P162" s="1414"/>
    </row>
    <row r="163" spans="1:18" s="53" customFormat="1" ht="24" customHeight="1">
      <c r="A163" s="1412"/>
      <c r="B163" s="1413"/>
      <c r="C163" s="1413"/>
      <c r="D163" s="1413"/>
      <c r="E163" s="1413"/>
      <c r="F163" s="1413"/>
      <c r="G163" s="1413"/>
      <c r="H163" s="1413"/>
      <c r="I163" s="1413"/>
      <c r="J163" s="1413"/>
      <c r="K163" s="1413"/>
      <c r="L163" s="1413"/>
      <c r="M163" s="1413"/>
      <c r="N163" s="1413"/>
      <c r="O163" s="1413"/>
      <c r="P163" s="1414"/>
    </row>
    <row r="164" spans="1:18" s="53" customFormat="1" ht="24" customHeight="1">
      <c r="A164" s="1398"/>
      <c r="B164" s="1399"/>
      <c r="C164" s="1399"/>
      <c r="D164" s="1399"/>
      <c r="E164" s="1399"/>
      <c r="F164" s="1399"/>
      <c r="G164" s="1399"/>
      <c r="H164" s="1399"/>
      <c r="I164" s="1399"/>
      <c r="J164" s="1399"/>
      <c r="K164" s="1399"/>
      <c r="L164" s="1399"/>
      <c r="M164" s="1399"/>
      <c r="N164" s="1399"/>
      <c r="O164" s="1399"/>
      <c r="P164" s="1400"/>
    </row>
    <row r="165" spans="1:18" ht="5.4" customHeight="1">
      <c r="B165" s="159"/>
      <c r="C165" s="159"/>
      <c r="D165" s="159"/>
      <c r="E165" s="159"/>
    </row>
    <row r="166" spans="1:18" s="53" customFormat="1" ht="12" customHeight="1">
      <c r="A166" s="211" t="s">
        <v>281</v>
      </c>
      <c r="B166" s="143" t="s">
        <v>3360</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3060</v>
      </c>
      <c r="C167" s="238" t="s">
        <v>3361</v>
      </c>
      <c r="D167" s="76"/>
      <c r="E167" s="76"/>
      <c r="G167" s="31"/>
      <c r="K167" s="62" t="s">
        <v>2215</v>
      </c>
      <c r="L167" s="795" t="s">
        <v>3963</v>
      </c>
      <c r="M167" s="8">
        <v>1</v>
      </c>
      <c r="N167" s="62" t="s">
        <v>3060</v>
      </c>
      <c r="O167" s="794">
        <v>1</v>
      </c>
      <c r="P167" s="89"/>
      <c r="Q167" s="146"/>
      <c r="R167" s="573" t="str">
        <f>IF(OR($O167=$M167,$O167=0,$O167=""),"","* * Check Score! * *")</f>
        <v/>
      </c>
    </row>
    <row r="168" spans="1:18" s="53" customFormat="1" ht="12" customHeight="1">
      <c r="B168" s="738" t="s">
        <v>3063</v>
      </c>
      <c r="C168" s="238" t="s">
        <v>3362</v>
      </c>
      <c r="D168" s="72"/>
      <c r="E168" s="40"/>
      <c r="F168" s="72"/>
      <c r="K168" s="65"/>
      <c r="L168" s="573" t="str">
        <f>IF(OR($O168=$M168,$O168=0,$O168=""),"","* * Check Score! * *")</f>
        <v/>
      </c>
      <c r="M168" s="8">
        <v>1</v>
      </c>
      <c r="N168" s="62" t="s">
        <v>3063</v>
      </c>
      <c r="O168" s="794">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395"/>
      <c r="B170" s="1396"/>
      <c r="C170" s="1396"/>
      <c r="D170" s="1396"/>
      <c r="E170" s="1396"/>
      <c r="F170" s="1396"/>
      <c r="G170" s="1396"/>
      <c r="H170" s="1396"/>
      <c r="I170" s="1396"/>
      <c r="J170" s="1396"/>
      <c r="K170" s="1396"/>
      <c r="L170" s="1396"/>
      <c r="M170" s="1396"/>
      <c r="N170" s="1396"/>
      <c r="O170" s="1396"/>
      <c r="P170" s="1397"/>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1380"/>
      <c r="B172" s="1381"/>
      <c r="C172" s="1381"/>
      <c r="D172" s="1381"/>
      <c r="E172" s="1381"/>
      <c r="F172" s="1381"/>
      <c r="G172" s="1381"/>
      <c r="H172" s="1381"/>
      <c r="I172" s="1381"/>
      <c r="J172" s="1381"/>
      <c r="K172" s="1381"/>
      <c r="L172" s="1381"/>
      <c r="M172" s="1381"/>
      <c r="N172" s="1381"/>
      <c r="O172" s="1381"/>
      <c r="P172" s="1382"/>
    </row>
    <row r="173" spans="1:18" s="53" customFormat="1" ht="12.6" customHeight="1">
      <c r="A173" s="1398"/>
      <c r="B173" s="1399"/>
      <c r="C173" s="1399"/>
      <c r="D173" s="1399"/>
      <c r="E173" s="1399"/>
      <c r="F173" s="1399"/>
      <c r="G173" s="1399"/>
      <c r="H173" s="1399"/>
      <c r="I173" s="1399"/>
      <c r="J173" s="1399"/>
      <c r="K173" s="1399"/>
      <c r="L173" s="1399"/>
      <c r="M173" s="1399"/>
      <c r="N173" s="1399"/>
      <c r="O173" s="1399"/>
      <c r="P173" s="1400"/>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8"/>
      <c r="C177" s="1524" t="s">
        <v>190</v>
      </c>
      <c r="D177" s="1206"/>
      <c r="E177" s="1206"/>
      <c r="F177" s="1206"/>
      <c r="G177" s="1206"/>
      <c r="H177" s="1206"/>
      <c r="I177" s="1206"/>
      <c r="J177" s="1206"/>
      <c r="K177" s="1206"/>
      <c r="L177" s="1206"/>
      <c r="M177" s="3"/>
      <c r="N177" s="83"/>
      <c r="O177" s="794"/>
      <c r="P177" s="89"/>
      <c r="Q177" s="146"/>
    </row>
    <row r="178" spans="1:18" s="692" customFormat="1" ht="35.4" customHeight="1">
      <c r="A178" s="691" t="str">
        <f>IF($I$93="HOPE VI Initiative", "X","")</f>
        <v/>
      </c>
      <c r="B178" s="693" t="s">
        <v>3064</v>
      </c>
      <c r="C178" s="1524" t="s">
        <v>189</v>
      </c>
      <c r="D178" s="1524"/>
      <c r="E178" s="1524"/>
      <c r="F178" s="1524"/>
      <c r="G178" s="1524"/>
      <c r="H178" s="1524"/>
      <c r="I178" s="1524"/>
      <c r="J178" s="1524"/>
      <c r="K178" s="1524"/>
      <c r="L178" s="1524"/>
      <c r="M178" s="694">
        <v>3</v>
      </c>
    </row>
    <row r="179" spans="1:18" s="692" customFormat="1" ht="26.4" customHeight="1">
      <c r="A179" s="691" t="str">
        <f>IF($I$93="HOPE VI Initiative", "X","")</f>
        <v/>
      </c>
      <c r="B179" s="693" t="s">
        <v>3066</v>
      </c>
      <c r="C179" s="1524" t="s">
        <v>2902</v>
      </c>
      <c r="D179" s="1524"/>
      <c r="E179" s="1524"/>
      <c r="F179" s="1524"/>
      <c r="G179" s="1524"/>
      <c r="H179" s="1524"/>
      <c r="I179" s="1524"/>
      <c r="J179" s="1524"/>
      <c r="K179" s="1524"/>
      <c r="L179" s="1524"/>
      <c r="M179" s="694">
        <v>1</v>
      </c>
    </row>
    <row r="180" spans="1:18" ht="12" customHeight="1">
      <c r="B180" s="738" t="s">
        <v>3063</v>
      </c>
      <c r="C180" s="238" t="s">
        <v>2669</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 customHeight="1">
      <c r="B181" s="252" t="s">
        <v>3064</v>
      </c>
      <c r="C181" s="160" t="s">
        <v>2671</v>
      </c>
      <c r="L181" s="573"/>
      <c r="M181" s="8">
        <v>6</v>
      </c>
      <c r="N181" s="252" t="s">
        <v>3064</v>
      </c>
      <c r="O181" s="794">
        <v>0</v>
      </c>
      <c r="P181" s="89"/>
    </row>
    <row r="182" spans="1:18" s="137" customFormat="1" ht="11.4" customHeight="1">
      <c r="B182" s="252" t="s">
        <v>3066</v>
      </c>
      <c r="C182" s="160" t="s">
        <v>2672</v>
      </c>
      <c r="L182" s="573" t="str">
        <f>IF(OR($O182=$M182,$O182=0,$O182=""),"","* * Check Score! * *")</f>
        <v/>
      </c>
      <c r="M182" s="8">
        <v>2</v>
      </c>
      <c r="N182" s="252" t="s">
        <v>3066</v>
      </c>
      <c r="O182" s="794">
        <v>0</v>
      </c>
      <c r="P182" s="89"/>
    </row>
    <row r="183" spans="1:18" s="137" customFormat="1" ht="11.4" customHeight="1">
      <c r="B183" s="252" t="s">
        <v>3823</v>
      </c>
      <c r="C183" s="160" t="s">
        <v>2670</v>
      </c>
      <c r="L183" s="573" t="str">
        <f>IF(OR($O183=$M183,$O183=0,$O183=""),"","* * Check Score! * *")</f>
        <v/>
      </c>
      <c r="M183" s="8">
        <v>2</v>
      </c>
      <c r="N183" s="252" t="s">
        <v>3823</v>
      </c>
      <c r="O183" s="794">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2" customHeight="1">
      <c r="A185" s="1389"/>
      <c r="B185" s="1390"/>
      <c r="C185" s="1390"/>
      <c r="D185" s="1390"/>
      <c r="E185" s="1390"/>
      <c r="F185" s="1390"/>
      <c r="G185" s="1390"/>
      <c r="H185" s="1390"/>
      <c r="I185" s="1390"/>
      <c r="J185" s="1390"/>
      <c r="K185" s="1390"/>
      <c r="L185" s="1390"/>
      <c r="M185" s="1390"/>
      <c r="N185" s="1390"/>
      <c r="O185" s="1390"/>
      <c r="P185" s="1391"/>
    </row>
    <row r="186" spans="1:18" s="53" customFormat="1" ht="25.2" customHeight="1">
      <c r="A186" s="1383"/>
      <c r="B186" s="1384"/>
      <c r="C186" s="1384"/>
      <c r="D186" s="1384"/>
      <c r="E186" s="1384"/>
      <c r="F186" s="1384"/>
      <c r="G186" s="1384"/>
      <c r="H186" s="1384"/>
      <c r="I186" s="1384"/>
      <c r="J186" s="1384"/>
      <c r="K186" s="1384"/>
      <c r="L186" s="1384"/>
      <c r="M186" s="1384"/>
      <c r="N186" s="1384"/>
      <c r="O186" s="1384"/>
      <c r="P186" s="1385"/>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2" customHeight="1">
      <c r="A188" s="1380"/>
      <c r="B188" s="1381"/>
      <c r="C188" s="1381"/>
      <c r="D188" s="1381"/>
      <c r="E188" s="1381"/>
      <c r="F188" s="1381"/>
      <c r="G188" s="1381"/>
      <c r="H188" s="1381"/>
      <c r="I188" s="1381"/>
      <c r="J188" s="1381"/>
      <c r="K188" s="1381"/>
      <c r="L188" s="1381"/>
      <c r="M188" s="1381"/>
      <c r="N188" s="1381"/>
      <c r="O188" s="1381"/>
      <c r="P188" s="1382"/>
    </row>
    <row r="189" spans="1:18" s="53" customFormat="1" ht="25.2" customHeight="1">
      <c r="A189" s="1398"/>
      <c r="B189" s="1399"/>
      <c r="C189" s="1399"/>
      <c r="D189" s="1399"/>
      <c r="E189" s="1399"/>
      <c r="F189" s="1399"/>
      <c r="G189" s="1399"/>
      <c r="H189" s="1399"/>
      <c r="I189" s="1399"/>
      <c r="J189" s="1399"/>
      <c r="K189" s="1399"/>
      <c r="L189" s="1399"/>
      <c r="M189" s="1399"/>
      <c r="N189" s="1399"/>
      <c r="O189" s="1399"/>
      <c r="P189" s="1400"/>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4.4">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3060</v>
      </c>
      <c r="B192" s="398" t="s">
        <v>922</v>
      </c>
      <c r="D192" s="42"/>
      <c r="E192" s="42"/>
      <c r="F192" s="42"/>
      <c r="L192" s="573" t="str">
        <f>IF(OR($O192=$M192,$O192=0,$O192=""),"","* * Check Score! * *")</f>
        <v/>
      </c>
      <c r="M192" s="7">
        <v>3</v>
      </c>
      <c r="N192" s="62" t="s">
        <v>3060</v>
      </c>
      <c r="O192" s="794">
        <v>0</v>
      </c>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794">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2" customHeight="1">
      <c r="A195" s="1395"/>
      <c r="B195" s="1396"/>
      <c r="C195" s="1396"/>
      <c r="D195" s="1396"/>
      <c r="E195" s="1396"/>
      <c r="F195" s="1396"/>
      <c r="G195" s="1396"/>
      <c r="H195" s="1396"/>
      <c r="I195" s="1396"/>
      <c r="J195" s="1396"/>
      <c r="K195" s="1396"/>
      <c r="L195" s="1396"/>
      <c r="M195" s="1396"/>
      <c r="N195" s="1396"/>
      <c r="O195" s="1396"/>
      <c r="P195" s="1397"/>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2" customHeight="1">
      <c r="A197" s="1438"/>
      <c r="B197" s="1439"/>
      <c r="C197" s="1439"/>
      <c r="D197" s="1439"/>
      <c r="E197" s="1439"/>
      <c r="F197" s="1439"/>
      <c r="G197" s="1439"/>
      <c r="H197" s="1439"/>
      <c r="I197" s="1439"/>
      <c r="J197" s="1439"/>
      <c r="K197" s="1439"/>
      <c r="L197" s="1439"/>
      <c r="M197" s="1439"/>
      <c r="N197" s="1439"/>
      <c r="O197" s="1439"/>
      <c r="P197" s="1440"/>
    </row>
    <row r="198" spans="1:18" s="53" customFormat="1" ht="7.2" customHeight="1">
      <c r="A198" s="52"/>
      <c r="B198" s="52"/>
      <c r="C198" s="740"/>
      <c r="D198" s="740"/>
      <c r="E198" s="740"/>
      <c r="F198" s="740"/>
      <c r="G198" s="740"/>
      <c r="H198" s="740"/>
      <c r="I198" s="740"/>
      <c r="J198" s="740"/>
      <c r="K198" s="740"/>
      <c r="L198" s="740"/>
      <c r="M198" s="740"/>
      <c r="N198" s="94"/>
      <c r="O198" s="90"/>
      <c r="P198" s="1"/>
    </row>
    <row r="199" spans="1:18" s="53" customFormat="1" ht="14.4">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3060</v>
      </c>
      <c r="B200" s="147" t="s">
        <v>2674</v>
      </c>
      <c r="D200" s="42"/>
      <c r="E200" s="42"/>
      <c r="F200" s="42"/>
      <c r="L200" s="573" t="str">
        <f>IF(OR($O200=$M200,$O200=0,$O200=""),"","* * Check Score! * *")</f>
        <v/>
      </c>
      <c r="M200" s="7">
        <v>2</v>
      </c>
      <c r="N200" s="62" t="s">
        <v>3060</v>
      </c>
      <c r="O200" s="794">
        <v>2</v>
      </c>
      <c r="P200" s="89"/>
      <c r="Q200" s="146"/>
      <c r="R200" s="573" t="str">
        <f>IF(OR($O200=$M200,$O200=0,$O200=""),"","* * Check Score! * *")</f>
        <v/>
      </c>
    </row>
    <row r="201" spans="1:18" s="53" customFormat="1" ht="12" customHeight="1">
      <c r="A201" s="189" t="s">
        <v>3063</v>
      </c>
      <c r="B201" s="147" t="s">
        <v>2675</v>
      </c>
      <c r="D201" s="50"/>
      <c r="E201" s="50"/>
      <c r="F201" s="40"/>
      <c r="G201" s="139"/>
      <c r="H201" s="139"/>
      <c r="I201" s="139"/>
      <c r="J201" s="139"/>
      <c r="K201" s="139"/>
      <c r="L201" s="46"/>
      <c r="M201" s="7">
        <v>1</v>
      </c>
      <c r="N201" s="62" t="s">
        <v>3063</v>
      </c>
      <c r="O201" s="794">
        <v>0</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2" customHeight="1">
      <c r="A203" s="1395" t="s">
        <v>4029</v>
      </c>
      <c r="B203" s="1396"/>
      <c r="C203" s="1396"/>
      <c r="D203" s="1396"/>
      <c r="E203" s="1396"/>
      <c r="F203" s="1396"/>
      <c r="G203" s="1396"/>
      <c r="H203" s="1396"/>
      <c r="I203" s="1396"/>
      <c r="J203" s="1396"/>
      <c r="K203" s="1396"/>
      <c r="L203" s="1396"/>
      <c r="M203" s="1396"/>
      <c r="N203" s="1396"/>
      <c r="O203" s="1396"/>
      <c r="P203" s="1397"/>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2" customHeight="1">
      <c r="A205" s="1438"/>
      <c r="B205" s="1439"/>
      <c r="C205" s="1439"/>
      <c r="D205" s="1439"/>
      <c r="E205" s="1439"/>
      <c r="F205" s="1439"/>
      <c r="G205" s="1439"/>
      <c r="H205" s="1439"/>
      <c r="I205" s="1439"/>
      <c r="J205" s="1439"/>
      <c r="K205" s="1439"/>
      <c r="L205" s="1439"/>
      <c r="M205" s="1439"/>
      <c r="N205" s="1439"/>
      <c r="O205" s="1439"/>
      <c r="P205" s="1440"/>
    </row>
    <row r="206" spans="1:18" ht="6.6" customHeight="1"/>
    <row r="207" spans="1:18" s="78" customFormat="1" ht="12.6" customHeight="1">
      <c r="A207" s="210" t="s">
        <v>2676</v>
      </c>
      <c r="B207" s="142" t="s">
        <v>1037</v>
      </c>
      <c r="G207" s="158"/>
      <c r="H207" s="158"/>
      <c r="I207" s="158"/>
      <c r="J207" s="263" t="s">
        <v>3642</v>
      </c>
      <c r="K207" s="158"/>
      <c r="L207" s="573" t="str">
        <f>IF(OR($O207=$M207,$O207=0,$O207=2,$O207=""),"","* * Check Score! * *")</f>
        <v/>
      </c>
      <c r="M207" s="3">
        <v>3</v>
      </c>
      <c r="N207" s="7"/>
      <c r="O207" s="81">
        <f>IF(OR(AND(J209=2,M209=3),AND(J209="",M209=3)),3,IF(AND(J209=3,M209=2),2,0))</f>
        <v>3</v>
      </c>
      <c r="P207" s="89"/>
      <c r="Q207" s="146" t="s">
        <v>651</v>
      </c>
      <c r="R207" s="31"/>
    </row>
    <row r="208" spans="1:18" s="78" customFormat="1" ht="25.2" customHeight="1">
      <c r="A208" s="210"/>
      <c r="B208" s="1532" t="s">
        <v>1571</v>
      </c>
      <c r="C208" s="911"/>
      <c r="D208" s="911"/>
      <c r="E208" s="911"/>
      <c r="F208" s="911"/>
      <c r="G208" s="911"/>
      <c r="H208" s="911"/>
      <c r="I208" s="911"/>
      <c r="J208" s="911"/>
      <c r="K208" s="911"/>
      <c r="L208" s="911"/>
      <c r="M208" s="911"/>
      <c r="N208" s="3"/>
      <c r="O208" s="3"/>
      <c r="P208" s="3"/>
      <c r="Q208" s="146"/>
      <c r="R208" s="573"/>
    </row>
    <row r="209" spans="1:18" s="690" customFormat="1" ht="12.6" customHeight="1">
      <c r="A209" s="699"/>
      <c r="C209" s="65" t="s">
        <v>951</v>
      </c>
      <c r="D209" s="1533"/>
      <c r="E209" s="1534"/>
      <c r="F209" s="1534"/>
      <c r="G209" s="1535"/>
      <c r="I209" s="702" t="s">
        <v>1572</v>
      </c>
      <c r="J209" s="795"/>
      <c r="L209" s="702" t="s">
        <v>1573</v>
      </c>
      <c r="M209" s="795">
        <v>3</v>
      </c>
      <c r="N209" s="64"/>
      <c r="O209" s="64"/>
      <c r="P209" s="64"/>
      <c r="Q209" s="701"/>
      <c r="R209" s="700"/>
    </row>
    <row r="210" spans="1:18" s="53" customFormat="1" ht="13.95" customHeight="1">
      <c r="A210" s="52"/>
      <c r="B210" s="59" t="s">
        <v>333</v>
      </c>
      <c r="C210" s="52"/>
      <c r="D210" s="58"/>
      <c r="E210" s="58"/>
      <c r="F210" s="58"/>
      <c r="G210" s="58"/>
      <c r="H210" s="46"/>
      <c r="I210" s="46"/>
      <c r="J210" s="117" t="s">
        <v>2922</v>
      </c>
      <c r="M210" s="56"/>
      <c r="N210" s="77"/>
      <c r="O210" s="4"/>
      <c r="P210" s="33"/>
    </row>
    <row r="211" spans="1:18" s="53" customFormat="1" ht="25.2" customHeight="1">
      <c r="A211" s="1395"/>
      <c r="B211" s="1396"/>
      <c r="C211" s="1396"/>
      <c r="D211" s="1396"/>
      <c r="E211" s="1396"/>
      <c r="F211" s="1396"/>
      <c r="G211" s="1396"/>
      <c r="H211" s="1396"/>
      <c r="I211" s="1397"/>
      <c r="J211" s="1438"/>
      <c r="K211" s="1439"/>
      <c r="L211" s="1439"/>
      <c r="M211" s="1439"/>
      <c r="N211" s="1439"/>
      <c r="O211" s="1439"/>
      <c r="P211" s="1440"/>
    </row>
    <row r="212" spans="1:18" s="53" customFormat="1" ht="7.2" customHeight="1">
      <c r="A212" s="52"/>
      <c r="C212" s="740"/>
      <c r="D212" s="740"/>
      <c r="E212" s="740"/>
      <c r="F212" s="740"/>
      <c r="G212" s="740"/>
      <c r="H212" s="740"/>
      <c r="I212" s="740"/>
      <c r="J212" s="740"/>
      <c r="K212" s="740"/>
      <c r="L212" s="740"/>
      <c r="M212" s="740"/>
      <c r="N212" s="94"/>
      <c r="O212" s="90"/>
      <c r="P212" s="1"/>
    </row>
    <row r="213" spans="1:18" s="53" customFormat="1" ht="14.4">
      <c r="A213" s="210" t="s">
        <v>2678</v>
      </c>
      <c r="B213" s="152" t="s">
        <v>2677</v>
      </c>
      <c r="D213" s="120"/>
      <c r="E213" s="120"/>
      <c r="F213" s="65"/>
      <c r="G213" s="65"/>
      <c r="H213" s="65"/>
      <c r="I213" s="65"/>
      <c r="J213" s="67"/>
      <c r="K213" s="75"/>
      <c r="L213" s="573" t="str">
        <f>IF(OR($O213=$M213,$O213=0,$O213=""),"","* * Check Score! * *")</f>
        <v/>
      </c>
      <c r="M213" s="1">
        <v>1</v>
      </c>
      <c r="N213" s="62"/>
      <c r="O213" s="794">
        <v>0</v>
      </c>
      <c r="P213" s="89"/>
      <c r="Q213" s="146" t="s">
        <v>651</v>
      </c>
    </row>
    <row r="214" spans="1:18" s="53" customFormat="1" ht="12.6" customHeight="1">
      <c r="A214" s="52"/>
      <c r="B214" s="153" t="s">
        <v>2893</v>
      </c>
      <c r="D214" s="139"/>
      <c r="E214" s="1556" t="s">
        <v>2813</v>
      </c>
      <c r="F214" s="1557"/>
      <c r="G214" s="1558"/>
      <c r="H214" s="1559"/>
      <c r="I214" s="64" t="s">
        <v>2892</v>
      </c>
      <c r="O214" s="161" t="s">
        <v>3795</v>
      </c>
      <c r="P214" s="161" t="s">
        <v>3795</v>
      </c>
    </row>
    <row r="215" spans="1:18" s="137" customFormat="1" ht="11.4" customHeight="1">
      <c r="B215" s="566" t="s">
        <v>3682</v>
      </c>
      <c r="C215" s="160" t="s">
        <v>2679</v>
      </c>
      <c r="D215" s="160"/>
      <c r="E215" s="160"/>
      <c r="F215" s="160"/>
      <c r="G215" s="1553" t="s">
        <v>3809</v>
      </c>
      <c r="H215" s="1554"/>
      <c r="I215" s="1555"/>
      <c r="J215" s="1553" t="s">
        <v>1837</v>
      </c>
      <c r="K215" s="1554"/>
      <c r="L215" s="1555"/>
      <c r="N215" s="566" t="s">
        <v>3682</v>
      </c>
      <c r="O215" s="795" t="s">
        <v>2253</v>
      </c>
      <c r="P215" s="234"/>
    </row>
    <row r="216" spans="1:18" s="137" customFormat="1" ht="11.4" customHeight="1">
      <c r="B216" s="566" t="s">
        <v>3683</v>
      </c>
      <c r="C216" s="160" t="s">
        <v>505</v>
      </c>
      <c r="D216" s="160"/>
      <c r="E216" s="160"/>
      <c r="F216" s="160"/>
      <c r="G216" s="160"/>
      <c r="L216" s="160"/>
      <c r="M216" s="160"/>
      <c r="N216" s="566" t="s">
        <v>3683</v>
      </c>
      <c r="O216" s="795" t="s">
        <v>2253</v>
      </c>
      <c r="P216" s="234"/>
    </row>
    <row r="217" spans="1:18" s="137" customFormat="1" ht="11.4" customHeight="1">
      <c r="B217" s="566" t="s">
        <v>3684</v>
      </c>
      <c r="C217" s="160" t="s">
        <v>2624</v>
      </c>
      <c r="D217" s="160"/>
      <c r="E217" s="160"/>
      <c r="F217" s="160"/>
      <c r="G217" s="160"/>
      <c r="H217" s="160"/>
      <c r="L217" s="160"/>
      <c r="M217" s="160"/>
      <c r="N217" s="566" t="s">
        <v>3684</v>
      </c>
      <c r="O217" s="795" t="s">
        <v>2253</v>
      </c>
      <c r="P217" s="234"/>
    </row>
    <row r="218" spans="1:18" s="137" customFormat="1" ht="11.4" customHeight="1">
      <c r="B218" s="566" t="s">
        <v>3685</v>
      </c>
      <c r="C218" s="160" t="s">
        <v>3491</v>
      </c>
      <c r="D218" s="160"/>
      <c r="E218" s="160"/>
      <c r="F218" s="160"/>
      <c r="G218" s="160"/>
      <c r="H218" s="160"/>
      <c r="I218" s="160"/>
      <c r="J218" s="160"/>
      <c r="K218" s="160"/>
      <c r="L218" s="160"/>
      <c r="M218" s="160"/>
      <c r="N218" s="566" t="s">
        <v>3685</v>
      </c>
      <c r="O218" s="795" t="s">
        <v>2253</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2" customHeight="1">
      <c r="A221" s="1389"/>
      <c r="B221" s="1390"/>
      <c r="C221" s="1390"/>
      <c r="D221" s="1390"/>
      <c r="E221" s="1390"/>
      <c r="F221" s="1390"/>
      <c r="G221" s="1390"/>
      <c r="H221" s="1390"/>
      <c r="I221" s="1390"/>
      <c r="J221" s="1390"/>
      <c r="K221" s="1390"/>
      <c r="L221" s="1390"/>
      <c r="M221" s="1390"/>
      <c r="N221" s="1390"/>
      <c r="O221" s="1390"/>
      <c r="P221" s="1391"/>
    </row>
    <row r="222" spans="1:18" s="53" customFormat="1" ht="25.2" customHeight="1">
      <c r="A222" s="1383"/>
      <c r="B222" s="1384"/>
      <c r="C222" s="1384"/>
      <c r="D222" s="1384"/>
      <c r="E222" s="1384"/>
      <c r="F222" s="1384"/>
      <c r="G222" s="1384"/>
      <c r="H222" s="1384"/>
      <c r="I222" s="1384"/>
      <c r="J222" s="1384"/>
      <c r="K222" s="1384"/>
      <c r="L222" s="1384"/>
      <c r="M222" s="1384"/>
      <c r="N222" s="1384"/>
      <c r="O222" s="1384"/>
      <c r="P222" s="1385"/>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2" customHeight="1">
      <c r="A224" s="1380"/>
      <c r="B224" s="1381"/>
      <c r="C224" s="1381"/>
      <c r="D224" s="1381"/>
      <c r="E224" s="1381"/>
      <c r="F224" s="1381"/>
      <c r="G224" s="1381"/>
      <c r="H224" s="1381"/>
      <c r="I224" s="1381"/>
      <c r="J224" s="1381"/>
      <c r="K224" s="1381"/>
      <c r="L224" s="1381"/>
      <c r="M224" s="1381"/>
      <c r="N224" s="1381"/>
      <c r="O224" s="1381"/>
      <c r="P224" s="1382"/>
    </row>
    <row r="225" spans="1:18" s="53" customFormat="1" ht="25.2" customHeight="1">
      <c r="A225" s="1398"/>
      <c r="B225" s="1399"/>
      <c r="C225" s="1399"/>
      <c r="D225" s="1399"/>
      <c r="E225" s="1399"/>
      <c r="F225" s="1399"/>
      <c r="G225" s="1399"/>
      <c r="H225" s="1399"/>
      <c r="I225" s="1399"/>
      <c r="J225" s="1399"/>
      <c r="K225" s="1399"/>
      <c r="L225" s="1399"/>
      <c r="M225" s="1399"/>
      <c r="N225" s="1399"/>
      <c r="O225" s="1399"/>
      <c r="P225" s="1400"/>
    </row>
    <row r="226" spans="1:18" ht="12.6" customHeight="1"/>
    <row r="227" spans="1:18" s="53" customFormat="1" ht="14.4">
      <c r="A227" s="210" t="s">
        <v>2680</v>
      </c>
      <c r="B227" s="152" t="s">
        <v>2894</v>
      </c>
      <c r="D227" s="120"/>
      <c r="E227" s="120"/>
      <c r="F227" s="65"/>
      <c r="G227" s="65"/>
      <c r="H227" s="65"/>
      <c r="I227" s="65"/>
      <c r="J227" s="67"/>
      <c r="K227" s="75"/>
      <c r="L227" s="71" t="str">
        <f>IF(M227&gt;14,"Over limit!","")</f>
        <v/>
      </c>
      <c r="M227" s="4">
        <v>8</v>
      </c>
      <c r="N227" s="7"/>
      <c r="O227" s="81">
        <f>MIN($M227,(O235+O245+O247))</f>
        <v>2</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869</v>
      </c>
      <c r="E229" s="120"/>
      <c r="F229" s="65"/>
      <c r="G229" s="65"/>
      <c r="H229" s="65"/>
      <c r="I229" s="65"/>
      <c r="J229" s="67"/>
      <c r="K229" s="75"/>
      <c r="L229" s="71" t="str">
        <f>IF(M229&gt;14,"Over limit!","")</f>
        <v/>
      </c>
      <c r="N229" s="252" t="s">
        <v>3064</v>
      </c>
      <c r="O229" s="795" t="s">
        <v>2253</v>
      </c>
      <c r="P229" s="234"/>
    </row>
    <row r="230" spans="1:18" s="137" customFormat="1" ht="12" customHeight="1">
      <c r="B230" s="252" t="s">
        <v>3066</v>
      </c>
      <c r="C230" s="137" t="s">
        <v>870</v>
      </c>
      <c r="N230" s="252" t="s">
        <v>3066</v>
      </c>
      <c r="O230" s="795" t="s">
        <v>2253</v>
      </c>
      <c r="P230" s="234"/>
    </row>
    <row r="231" spans="1:18" s="137" customFormat="1" ht="12" customHeight="1">
      <c r="B231" s="252" t="s">
        <v>3823</v>
      </c>
      <c r="C231" s="137" t="s">
        <v>871</v>
      </c>
      <c r="N231" s="252" t="s">
        <v>3823</v>
      </c>
      <c r="O231" s="795" t="s">
        <v>2253</v>
      </c>
      <c r="P231" s="234"/>
    </row>
    <row r="232" spans="1:18" s="137" customFormat="1" ht="12" customHeight="1">
      <c r="B232" s="252" t="s">
        <v>1885</v>
      </c>
      <c r="C232" s="137" t="s">
        <v>872</v>
      </c>
      <c r="N232" s="252" t="s">
        <v>1885</v>
      </c>
      <c r="O232" s="795" t="s">
        <v>2253</v>
      </c>
      <c r="P232" s="234"/>
    </row>
    <row r="233" spans="1:18" s="137" customFormat="1" ht="12" customHeight="1">
      <c r="B233" s="252" t="s">
        <v>1886</v>
      </c>
      <c r="C233" s="137" t="s">
        <v>884</v>
      </c>
      <c r="N233" s="252" t="s">
        <v>1886</v>
      </c>
      <c r="O233" s="795" t="s">
        <v>2253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2216</v>
      </c>
      <c r="H236" s="68" t="s">
        <v>2217</v>
      </c>
      <c r="K236" s="255"/>
      <c r="L236" s="573" t="str">
        <f t="shared" ref="L236:L243" si="1">IF(OR($O236=$M236,$O236=0,$O236=""),"","* * Check Score! * *")</f>
        <v/>
      </c>
      <c r="M236" s="7">
        <v>1</v>
      </c>
      <c r="N236" s="252" t="s">
        <v>3064</v>
      </c>
      <c r="O236" s="795">
        <v>0</v>
      </c>
      <c r="P236" s="89"/>
      <c r="R236" s="573" t="str">
        <f>IF(OR($O236=$M236,$O236=0,$O236=""),"","* * Check Score! * *")</f>
        <v/>
      </c>
    </row>
    <row r="237" spans="1:18" ht="12" customHeight="1">
      <c r="A237" s="254"/>
      <c r="B237" s="252" t="s">
        <v>3066</v>
      </c>
      <c r="C237" s="46" t="s">
        <v>2220</v>
      </c>
      <c r="H237" s="68" t="s">
        <v>2217</v>
      </c>
      <c r="L237" s="573" t="str">
        <f t="shared" si="1"/>
        <v/>
      </c>
      <c r="M237" s="7">
        <v>1</v>
      </c>
      <c r="N237" s="252" t="s">
        <v>3066</v>
      </c>
      <c r="O237" s="795">
        <v>0</v>
      </c>
      <c r="P237" s="89"/>
      <c r="R237" s="573" t="str">
        <f t="shared" ref="R237:R243" si="2">IF(OR($O237=$M237,$O237=0,$O237=""),"","* * Check Score! * *")</f>
        <v/>
      </c>
    </row>
    <row r="238" spans="1:18" ht="12" customHeight="1">
      <c r="B238" s="252" t="s">
        <v>3823</v>
      </c>
      <c r="C238" s="46" t="s">
        <v>2224</v>
      </c>
      <c r="H238" s="68" t="s">
        <v>2217</v>
      </c>
      <c r="L238" s="573" t="str">
        <f>IF(OR($O238=$M238,$O238=0,$O238=""),"","* * Check Score! * *")</f>
        <v/>
      </c>
      <c r="M238" s="7">
        <v>1</v>
      </c>
      <c r="N238" s="252" t="s">
        <v>3823</v>
      </c>
      <c r="O238" s="795">
        <v>0</v>
      </c>
      <c r="P238" s="89"/>
      <c r="R238" s="573" t="str">
        <f>IF(OR($O238=$M238,$O238=0,$O238=""),"","* * Check Score! * *")</f>
        <v/>
      </c>
    </row>
    <row r="239" spans="1:18" ht="12" customHeight="1">
      <c r="A239" s="254"/>
      <c r="B239" s="252" t="s">
        <v>1885</v>
      </c>
      <c r="C239" s="46" t="s">
        <v>873</v>
      </c>
      <c r="L239" s="573" t="str">
        <f t="shared" si="1"/>
        <v/>
      </c>
      <c r="M239" s="7">
        <v>1</v>
      </c>
      <c r="N239" s="252" t="s">
        <v>1885</v>
      </c>
      <c r="O239" s="795">
        <v>0</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795">
        <v>0</v>
      </c>
      <c r="P240" s="89"/>
      <c r="R240" s="573" t="str">
        <f t="shared" si="2"/>
        <v/>
      </c>
    </row>
    <row r="241" spans="1:18" ht="12" customHeight="1">
      <c r="A241" s="254"/>
      <c r="B241" s="252" t="s">
        <v>2943</v>
      </c>
      <c r="C241" s="46" t="s">
        <v>2222</v>
      </c>
      <c r="H241" s="68" t="s">
        <v>2218</v>
      </c>
      <c r="L241" s="573" t="str">
        <f t="shared" si="1"/>
        <v/>
      </c>
      <c r="M241" s="7">
        <v>2</v>
      </c>
      <c r="N241" s="252" t="s">
        <v>2943</v>
      </c>
      <c r="O241" s="795">
        <v>0</v>
      </c>
      <c r="P241" s="89"/>
      <c r="R241" s="573" t="str">
        <f t="shared" si="2"/>
        <v/>
      </c>
    </row>
    <row r="242" spans="1:18" ht="12" customHeight="1">
      <c r="A242" s="254"/>
      <c r="B242" s="252" t="s">
        <v>743</v>
      </c>
      <c r="C242" s="46" t="s">
        <v>2223</v>
      </c>
      <c r="H242" s="68" t="s">
        <v>2218</v>
      </c>
      <c r="L242" s="573" t="str">
        <f t="shared" si="1"/>
        <v/>
      </c>
      <c r="M242" s="7">
        <v>2</v>
      </c>
      <c r="N242" s="252" t="s">
        <v>743</v>
      </c>
      <c r="O242" s="795">
        <v>0</v>
      </c>
      <c r="P242" s="89"/>
      <c r="R242" s="573" t="str">
        <f t="shared" si="2"/>
        <v/>
      </c>
    </row>
    <row r="243" spans="1:18" ht="12" customHeight="1">
      <c r="A243" s="254"/>
      <c r="B243" s="252" t="s">
        <v>744</v>
      </c>
      <c r="C243" s="46" t="s">
        <v>2225</v>
      </c>
      <c r="H243" s="68" t="s">
        <v>2219</v>
      </c>
      <c r="L243" s="573" t="str">
        <f t="shared" si="1"/>
        <v/>
      </c>
      <c r="M243" s="7">
        <v>3</v>
      </c>
      <c r="N243" s="252" t="s">
        <v>744</v>
      </c>
      <c r="O243" s="795">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3063</v>
      </c>
      <c r="B245" s="258" t="s">
        <v>2896</v>
      </c>
      <c r="D245" s="49"/>
      <c r="E245" s="46"/>
      <c r="F245" s="1"/>
      <c r="G245" s="1"/>
      <c r="H245" s="46" t="s">
        <v>2897</v>
      </c>
      <c r="I245" s="1"/>
      <c r="J245" s="40"/>
      <c r="K245" s="40"/>
      <c r="L245" s="40"/>
      <c r="M245" s="3">
        <v>3</v>
      </c>
      <c r="N245" s="62" t="s">
        <v>3063</v>
      </c>
      <c r="O245" s="795">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1238</v>
      </c>
      <c r="B247" s="258" t="s">
        <v>982</v>
      </c>
      <c r="D247" s="49"/>
      <c r="E247" s="46"/>
      <c r="F247" s="1"/>
      <c r="G247" s="1"/>
      <c r="H247" s="1"/>
      <c r="I247" s="1"/>
      <c r="J247" s="40"/>
      <c r="K247" s="40"/>
      <c r="L247" s="573" t="str">
        <f>IF(OR($O247=$M247,$O247=0,$O247=""),"","* * Check Score! * *")</f>
        <v/>
      </c>
      <c r="M247" s="1">
        <v>2</v>
      </c>
      <c r="N247" s="62" t="s">
        <v>1238</v>
      </c>
      <c r="O247" s="795">
        <v>2</v>
      </c>
      <c r="P247" s="89"/>
      <c r="R247" s="573" t="str">
        <f>IF(OR($O247=$M247,$O247=0,$O247=""),"","* * Check Score! * *")</f>
        <v/>
      </c>
    </row>
    <row r="248" spans="1:18" s="53" customFormat="1" ht="12.6" customHeight="1">
      <c r="A248" s="253"/>
      <c r="B248" s="252" t="s">
        <v>3064</v>
      </c>
      <c r="C248" s="46" t="s">
        <v>983</v>
      </c>
      <c r="E248" s="1505" t="s">
        <v>3988</v>
      </c>
      <c r="F248" s="1506"/>
      <c r="G248" s="1506"/>
      <c r="H248" s="1507"/>
      <c r="K248" s="255"/>
      <c r="M248" s="7"/>
      <c r="N248" s="7"/>
      <c r="O248" s="7"/>
      <c r="P248" s="7"/>
    </row>
    <row r="249" spans="1:18" ht="33" customHeight="1">
      <c r="A249" s="254"/>
      <c r="B249" s="596" t="s">
        <v>3066</v>
      </c>
      <c r="C249" s="597" t="s">
        <v>3561</v>
      </c>
      <c r="D249" s="598"/>
      <c r="E249" s="1527" t="s">
        <v>4001</v>
      </c>
      <c r="F249" s="1528"/>
      <c r="G249" s="1528"/>
      <c r="H249" s="1528"/>
      <c r="I249" s="1528"/>
      <c r="J249" s="1528"/>
      <c r="K249" s="1528"/>
      <c r="L249" s="1528"/>
      <c r="M249" s="1528"/>
      <c r="N249" s="1528"/>
      <c r="O249" s="1528"/>
      <c r="P249" s="1529"/>
    </row>
    <row r="250" spans="1:18" ht="12.6" customHeight="1">
      <c r="B250" s="252" t="s">
        <v>3823</v>
      </c>
      <c r="C250" s="46" t="s">
        <v>984</v>
      </c>
      <c r="E250" s="1525" t="s">
        <v>4002</v>
      </c>
      <c r="F250" s="152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 customHeight="1">
      <c r="A253" s="1389"/>
      <c r="B253" s="1390"/>
      <c r="C253" s="1390"/>
      <c r="D253" s="1390"/>
      <c r="E253" s="1390"/>
      <c r="F253" s="1390"/>
      <c r="G253" s="1390"/>
      <c r="H253" s="1390"/>
      <c r="I253" s="1390"/>
      <c r="J253" s="1390"/>
      <c r="K253" s="1390"/>
      <c r="L253" s="1390"/>
      <c r="M253" s="1390"/>
      <c r="N253" s="1390"/>
      <c r="O253" s="1390"/>
      <c r="P253" s="1391"/>
    </row>
    <row r="254" spans="1:18" s="53" customFormat="1" ht="23.4" customHeight="1">
      <c r="A254" s="1383"/>
      <c r="B254" s="1384"/>
      <c r="C254" s="1384"/>
      <c r="D254" s="1384"/>
      <c r="E254" s="1384"/>
      <c r="F254" s="1384"/>
      <c r="G254" s="1384"/>
      <c r="H254" s="1384"/>
      <c r="I254" s="1384"/>
      <c r="J254" s="1384"/>
      <c r="K254" s="1384"/>
      <c r="L254" s="1384"/>
      <c r="M254" s="1384"/>
      <c r="N254" s="1384"/>
      <c r="O254" s="1384"/>
      <c r="P254" s="1385"/>
    </row>
    <row r="255" spans="1:18" s="139" customFormat="1" ht="10.95" customHeight="1">
      <c r="A255" s="52"/>
      <c r="B255" s="133" t="s">
        <v>2922</v>
      </c>
      <c r="C255" s="135"/>
      <c r="D255" s="133"/>
      <c r="E255" s="261"/>
      <c r="F255" s="737"/>
      <c r="G255" s="737"/>
      <c r="H255" s="737"/>
      <c r="I255" s="737"/>
      <c r="J255" s="737"/>
      <c r="K255" s="737"/>
      <c r="L255" s="737"/>
      <c r="M255" s="737"/>
      <c r="N255" s="127"/>
      <c r="O255" s="259"/>
      <c r="P255" s="3"/>
    </row>
    <row r="256" spans="1:18" s="53" customFormat="1" ht="23.4" customHeight="1">
      <c r="A256" s="1380"/>
      <c r="B256" s="1381"/>
      <c r="C256" s="1381"/>
      <c r="D256" s="1381"/>
      <c r="E256" s="1381"/>
      <c r="F256" s="1381"/>
      <c r="G256" s="1381"/>
      <c r="H256" s="1381"/>
      <c r="I256" s="1381"/>
      <c r="J256" s="1381"/>
      <c r="K256" s="1381"/>
      <c r="L256" s="1381"/>
      <c r="M256" s="1381"/>
      <c r="N256" s="1381"/>
      <c r="O256" s="1381"/>
      <c r="P256" s="1382"/>
    </row>
    <row r="257" spans="1:18" s="53" customFormat="1" ht="23.4" customHeight="1">
      <c r="A257" s="1398"/>
      <c r="B257" s="1399"/>
      <c r="C257" s="1399"/>
      <c r="D257" s="1399"/>
      <c r="E257" s="1399"/>
      <c r="F257" s="1399"/>
      <c r="G257" s="1399"/>
      <c r="H257" s="1399"/>
      <c r="I257" s="1399"/>
      <c r="J257" s="1399"/>
      <c r="K257" s="1399"/>
      <c r="L257" s="1399"/>
      <c r="M257" s="1399"/>
      <c r="N257" s="1399"/>
      <c r="O257" s="1399"/>
      <c r="P257" s="1400"/>
    </row>
    <row r="258" spans="1:18" ht="6.6" customHeight="1"/>
    <row r="259" spans="1:18" s="53" customFormat="1" ht="14.4">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795" t="s">
        <v>3965</v>
      </c>
      <c r="P260" s="234"/>
    </row>
    <row r="261" spans="1:18" s="53" customFormat="1" ht="24.6" customHeight="1">
      <c r="A261" s="52"/>
      <c r="B261" s="1530" t="s">
        <v>3918</v>
      </c>
      <c r="C261" s="1531"/>
      <c r="D261" s="1531"/>
      <c r="E261" s="1531"/>
      <c r="F261" s="1531"/>
      <c r="G261" s="1531"/>
      <c r="H261" s="1531"/>
      <c r="I261" s="1531"/>
      <c r="J261" s="1531"/>
      <c r="K261" s="1531"/>
      <c r="L261" s="1531"/>
      <c r="M261" s="56"/>
      <c r="N261" s="77"/>
      <c r="O261" s="795"/>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389"/>
      <c r="B263" s="1390"/>
      <c r="C263" s="1390"/>
      <c r="D263" s="1390"/>
      <c r="E263" s="1390"/>
      <c r="F263" s="1390"/>
      <c r="G263" s="1390"/>
      <c r="H263" s="1390"/>
      <c r="I263" s="1390"/>
      <c r="J263" s="1390"/>
      <c r="K263" s="1390"/>
      <c r="L263" s="1390"/>
      <c r="M263" s="1390"/>
      <c r="N263" s="1390"/>
      <c r="O263" s="1390"/>
      <c r="P263" s="1391"/>
    </row>
    <row r="264" spans="1:18" s="53" customFormat="1" ht="12" customHeight="1">
      <c r="A264" s="1383"/>
      <c r="B264" s="1384"/>
      <c r="C264" s="1384"/>
      <c r="D264" s="1384"/>
      <c r="E264" s="1384"/>
      <c r="F264" s="1384"/>
      <c r="G264" s="1384"/>
      <c r="H264" s="1384"/>
      <c r="I264" s="1384"/>
      <c r="J264" s="1384"/>
      <c r="K264" s="1384"/>
      <c r="L264" s="1384"/>
      <c r="M264" s="1384"/>
      <c r="N264" s="1384"/>
      <c r="O264" s="1384"/>
      <c r="P264" s="1385"/>
    </row>
    <row r="265" spans="1:18" s="139" customFormat="1" ht="12" customHeight="1">
      <c r="A265" s="52"/>
      <c r="B265" s="133" t="s">
        <v>2922</v>
      </c>
      <c r="C265" s="135"/>
      <c r="D265" s="133"/>
      <c r="E265" s="261"/>
      <c r="F265" s="737"/>
      <c r="G265" s="737"/>
      <c r="H265" s="737"/>
      <c r="I265" s="737"/>
      <c r="J265" s="737"/>
      <c r="K265" s="737"/>
      <c r="L265" s="737"/>
      <c r="M265" s="737"/>
      <c r="N265" s="127"/>
      <c r="O265" s="259"/>
      <c r="P265" s="3"/>
    </row>
    <row r="266" spans="1:18" s="53" customFormat="1" ht="23.4" customHeight="1">
      <c r="A266" s="1508"/>
      <c r="B266" s="1509"/>
      <c r="C266" s="1509"/>
      <c r="D266" s="1509"/>
      <c r="E266" s="1509"/>
      <c r="F266" s="1509"/>
      <c r="G266" s="1509"/>
      <c r="H266" s="1509"/>
      <c r="I266" s="1509"/>
      <c r="J266" s="1509"/>
      <c r="K266" s="1509"/>
      <c r="L266" s="1509"/>
      <c r="M266" s="1509"/>
      <c r="N266" s="1509"/>
      <c r="O266" s="1509"/>
      <c r="P266" s="1510"/>
    </row>
    <row r="267" spans="1:18" s="53" customFormat="1" ht="23.4" customHeight="1">
      <c r="A267" s="1412"/>
      <c r="B267" s="1413"/>
      <c r="C267" s="1413"/>
      <c r="D267" s="1413"/>
      <c r="E267" s="1413"/>
      <c r="F267" s="1413"/>
      <c r="G267" s="1413"/>
      <c r="H267" s="1413"/>
      <c r="I267" s="1413"/>
      <c r="J267" s="1413"/>
      <c r="K267" s="1413"/>
      <c r="L267" s="1413"/>
      <c r="M267" s="1413"/>
      <c r="N267" s="1413"/>
      <c r="O267" s="1413"/>
      <c r="P267" s="1414"/>
    </row>
    <row r="268" spans="1:18" s="53" customFormat="1" ht="23.4" customHeight="1">
      <c r="A268" s="1398"/>
      <c r="B268" s="1399"/>
      <c r="C268" s="1399"/>
      <c r="D268" s="1399"/>
      <c r="E268" s="1399"/>
      <c r="F268" s="1399"/>
      <c r="G268" s="1399"/>
      <c r="H268" s="1399"/>
      <c r="I268" s="1399"/>
      <c r="J268" s="1399"/>
      <c r="K268" s="1399"/>
      <c r="L268" s="1399"/>
      <c r="M268" s="1399"/>
      <c r="N268" s="1399"/>
      <c r="O268" s="1399"/>
      <c r="P268" s="1400"/>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4.4">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3060</v>
      </c>
      <c r="B271" s="147" t="s">
        <v>2687</v>
      </c>
      <c r="D271" s="42"/>
      <c r="E271" s="42"/>
      <c r="F271" s="42"/>
      <c r="L271" s="573" t="str">
        <f>IF(OR($O271=$M271,$O271=0,$O271=""),"","* * Check Score! * *")</f>
        <v/>
      </c>
      <c r="M271" s="7">
        <v>3</v>
      </c>
      <c r="N271" s="62" t="s">
        <v>3060</v>
      </c>
      <c r="O271" s="794">
        <v>3</v>
      </c>
      <c r="P271" s="89"/>
      <c r="Q271" s="146"/>
      <c r="R271" s="573" t="str">
        <f>IF(OR($O271=$M271,$O271=0,$O271=""),"","* * Check Score! * *")</f>
        <v/>
      </c>
    </row>
    <row r="272" spans="1:18" s="53" customFormat="1" ht="12" customHeight="1">
      <c r="A272" s="189" t="s">
        <v>3063</v>
      </c>
      <c r="B272" s="147" t="s">
        <v>2688</v>
      </c>
      <c r="D272" s="50"/>
      <c r="E272" s="50"/>
      <c r="F272" s="40"/>
      <c r="G272" s="139"/>
      <c r="H272" s="139"/>
      <c r="I272" s="139"/>
      <c r="J272" s="139"/>
      <c r="K272" s="139"/>
      <c r="L272" s="46"/>
      <c r="M272" s="7">
        <v>3</v>
      </c>
      <c r="N272" s="62" t="s">
        <v>3063</v>
      </c>
      <c r="O272" s="794">
        <v>3</v>
      </c>
      <c r="P272" s="89"/>
      <c r="R272" s="573" t="str">
        <f>IF(OR($O272=$M272,$O272=0,$O272=""),"","* * Check Score! * *")</f>
        <v/>
      </c>
    </row>
    <row r="273" spans="1:18" s="53" customFormat="1" ht="22.95" customHeight="1">
      <c r="A273" s="189"/>
      <c r="B273" s="1522" t="s">
        <v>3519</v>
      </c>
      <c r="C273" s="1523"/>
      <c r="D273" s="1523"/>
      <c r="E273" s="1523"/>
      <c r="F273" s="1523"/>
      <c r="G273" s="1523"/>
      <c r="H273" s="1523"/>
      <c r="I273" s="1523"/>
      <c r="J273" s="1523"/>
      <c r="K273" s="1523"/>
      <c r="L273" s="1523"/>
      <c r="M273" s="1523"/>
      <c r="N273" s="62"/>
      <c r="O273" s="795" t="s">
        <v>3982</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395"/>
      <c r="B275" s="1396"/>
      <c r="C275" s="1396"/>
      <c r="D275" s="1396"/>
      <c r="E275" s="1396"/>
      <c r="F275" s="1396"/>
      <c r="G275" s="1396"/>
      <c r="H275" s="1396"/>
      <c r="I275" s="1396"/>
      <c r="J275" s="1396"/>
      <c r="K275" s="1396"/>
      <c r="L275" s="1396"/>
      <c r="M275" s="1396"/>
      <c r="N275" s="1396"/>
      <c r="O275" s="1396"/>
      <c r="P275" s="1397"/>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438"/>
      <c r="B277" s="1439"/>
      <c r="C277" s="1439"/>
      <c r="D277" s="1439"/>
      <c r="E277" s="1439"/>
      <c r="F277" s="1439"/>
      <c r="G277" s="1439"/>
      <c r="H277" s="1439"/>
      <c r="I277" s="1439"/>
      <c r="J277" s="1439"/>
      <c r="K277" s="1439"/>
      <c r="L277" s="1439"/>
      <c r="M277" s="1439"/>
      <c r="N277" s="1439"/>
      <c r="O277" s="1439"/>
      <c r="P277" s="144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 customHeight="1">
      <c r="B281" s="195" t="s">
        <v>3837</v>
      </c>
      <c r="M281" s="52"/>
      <c r="N281" s="52"/>
      <c r="O281" s="795"/>
      <c r="P281" s="234"/>
    </row>
    <row r="282" spans="1:18" s="45" customFormat="1" ht="3" customHeight="1">
      <c r="M282" s="52"/>
      <c r="N282" s="52"/>
      <c r="O282" s="52"/>
      <c r="P282" s="52"/>
    </row>
    <row r="283" spans="1:18" ht="12.6" customHeight="1">
      <c r="B283" s="258" t="s">
        <v>3060</v>
      </c>
      <c r="C283" s="256" t="s">
        <v>2160</v>
      </c>
      <c r="D283" s="42"/>
      <c r="E283" s="42"/>
      <c r="F283" s="42"/>
      <c r="G283" s="42"/>
      <c r="H283" s="42"/>
      <c r="I283" s="42"/>
      <c r="J283" s="42"/>
      <c r="K283" s="42"/>
      <c r="L283" s="42"/>
      <c r="M283" s="156"/>
      <c r="N283" s="62" t="s">
        <v>3060</v>
      </c>
      <c r="O283" s="806">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795" t="s">
        <v>4003</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 customHeight="1">
      <c r="A288" s="1389"/>
      <c r="B288" s="1390"/>
      <c r="C288" s="1390"/>
      <c r="D288" s="1390"/>
      <c r="E288" s="1390"/>
      <c r="F288" s="1390"/>
      <c r="G288" s="1390"/>
      <c r="H288" s="1390"/>
      <c r="I288" s="1390"/>
      <c r="J288" s="1390"/>
      <c r="K288" s="1390"/>
      <c r="L288" s="1390"/>
      <c r="M288" s="1390"/>
      <c r="N288" s="1390"/>
      <c r="O288" s="1390"/>
      <c r="P288" s="1391"/>
      <c r="Q288" s="1405" t="s">
        <v>1932</v>
      </c>
      <c r="R288" s="1405"/>
    </row>
    <row r="289" spans="1:19" s="67" customFormat="1" ht="23.4" customHeight="1">
      <c r="A289" s="1383"/>
      <c r="B289" s="1384"/>
      <c r="C289" s="1384"/>
      <c r="D289" s="1384"/>
      <c r="E289" s="1384"/>
      <c r="F289" s="1384"/>
      <c r="G289" s="1384"/>
      <c r="H289" s="1384"/>
      <c r="I289" s="1384"/>
      <c r="J289" s="1384"/>
      <c r="K289" s="1384"/>
      <c r="L289" s="1384"/>
      <c r="M289" s="1384"/>
      <c r="N289" s="1384"/>
      <c r="O289" s="1384"/>
      <c r="P289" s="1385"/>
    </row>
    <row r="290" spans="1:19" s="139" customFormat="1" ht="11.25" customHeight="1">
      <c r="A290" s="84"/>
      <c r="B290" s="84" t="s">
        <v>2922</v>
      </c>
      <c r="C290" s="60"/>
      <c r="D290" s="84"/>
      <c r="E290" s="737"/>
      <c r="F290" s="737"/>
      <c r="G290" s="737"/>
      <c r="H290" s="737"/>
      <c r="I290" s="737"/>
      <c r="J290" s="737"/>
      <c r="K290" s="737"/>
      <c r="L290" s="737"/>
      <c r="M290" s="737"/>
      <c r="N290" s="127"/>
      <c r="O290" s="259"/>
      <c r="P290" s="3"/>
    </row>
    <row r="291" spans="1:19" s="53" customFormat="1" ht="23.4" customHeight="1">
      <c r="A291" s="1380"/>
      <c r="B291" s="1381"/>
      <c r="C291" s="1381"/>
      <c r="D291" s="1381"/>
      <c r="E291" s="1381"/>
      <c r="F291" s="1381"/>
      <c r="G291" s="1381"/>
      <c r="H291" s="1381"/>
      <c r="I291" s="1381"/>
      <c r="J291" s="1381"/>
      <c r="K291" s="1381"/>
      <c r="L291" s="1381"/>
      <c r="M291" s="1381"/>
      <c r="N291" s="1381"/>
      <c r="O291" s="1381"/>
      <c r="P291" s="1382"/>
      <c r="Q291" s="1405" t="s">
        <v>1932</v>
      </c>
      <c r="R291" s="1405"/>
    </row>
    <row r="292" spans="1:19" s="53" customFormat="1" ht="23.4" customHeight="1">
      <c r="A292" s="1398"/>
      <c r="B292" s="1399"/>
      <c r="C292" s="1399"/>
      <c r="D292" s="1399"/>
      <c r="E292" s="1399"/>
      <c r="F292" s="1399"/>
      <c r="G292" s="1399"/>
      <c r="H292" s="1399"/>
      <c r="I292" s="1399"/>
      <c r="J292" s="1399"/>
      <c r="K292" s="1399"/>
      <c r="L292" s="1399"/>
      <c r="M292" s="1399"/>
      <c r="N292" s="1399"/>
      <c r="O292" s="1399"/>
      <c r="P292" s="1400"/>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3185</v>
      </c>
      <c r="D301" s="166"/>
      <c r="E301" s="166"/>
      <c r="F301" s="166"/>
      <c r="G301" s="166"/>
      <c r="H301" s="166"/>
      <c r="I301" s="166"/>
      <c r="J301" s="166" t="s">
        <v>2800</v>
      </c>
      <c r="K301" s="166"/>
      <c r="L301" s="166"/>
      <c r="M301" s="155"/>
      <c r="Q301" s="155"/>
      <c r="R301" s="155"/>
      <c r="S301" s="155"/>
    </row>
    <row r="302" spans="1:19" ht="13.8">
      <c r="A302" s="155"/>
      <c r="B302" s="155"/>
      <c r="C302" s="113" t="s">
        <v>3843</v>
      </c>
      <c r="D302" s="113"/>
      <c r="E302" s="113"/>
      <c r="F302" s="113"/>
      <c r="G302" s="113"/>
      <c r="H302" s="113"/>
      <c r="I302" s="113"/>
      <c r="J302" s="358" t="s">
        <v>294</v>
      </c>
      <c r="K302" s="209"/>
      <c r="L302" s="166"/>
      <c r="M302" s="250"/>
      <c r="N302" s="251"/>
      <c r="Q302" s="155"/>
      <c r="R302" s="155"/>
      <c r="S302" s="155"/>
    </row>
    <row r="303" spans="1:19" ht="13.8">
      <c r="A303" s="155"/>
      <c r="B303" s="155"/>
      <c r="C303" s="113" t="s">
        <v>3186</v>
      </c>
      <c r="D303" s="113"/>
      <c r="E303" s="113"/>
      <c r="F303" s="113"/>
      <c r="G303" s="113"/>
      <c r="H303" s="113"/>
      <c r="I303" s="113"/>
      <c r="J303" s="358" t="s">
        <v>2636</v>
      </c>
      <c r="K303" s="209"/>
      <c r="L303" s="166"/>
      <c r="M303" s="250"/>
      <c r="N303" s="251"/>
      <c r="Q303" s="155"/>
      <c r="R303" s="155"/>
      <c r="S303" s="155"/>
    </row>
    <row r="304" spans="1:19" ht="13.8">
      <c r="A304" s="155"/>
      <c r="B304" s="155"/>
      <c r="C304" s="113" t="s">
        <v>3187</v>
      </c>
      <c r="D304" s="113"/>
      <c r="E304" s="113"/>
      <c r="F304" s="113"/>
      <c r="G304" s="113"/>
      <c r="H304" s="113"/>
      <c r="I304" s="113"/>
      <c r="J304" s="358" t="s">
        <v>2637</v>
      </c>
      <c r="K304" s="209"/>
      <c r="L304" s="166"/>
      <c r="M304" s="250"/>
      <c r="N304" s="251"/>
      <c r="Q304" s="155"/>
      <c r="R304" s="155"/>
      <c r="S304" s="155"/>
    </row>
    <row r="305" spans="1:19" ht="13.8">
      <c r="A305" s="155"/>
      <c r="B305" s="155"/>
      <c r="C305" s="359" t="s">
        <v>3188</v>
      </c>
      <c r="D305" s="113"/>
      <c r="E305" s="113"/>
      <c r="F305" s="113"/>
      <c r="G305" s="113"/>
      <c r="H305" s="113"/>
      <c r="I305" s="113"/>
      <c r="J305" s="358" t="s">
        <v>3785</v>
      </c>
      <c r="K305" s="209"/>
      <c r="L305" s="166"/>
      <c r="M305" s="250"/>
      <c r="N305" s="251"/>
      <c r="Q305" s="155"/>
      <c r="R305" s="155"/>
      <c r="S305" s="155"/>
    </row>
    <row r="306" spans="1:19" ht="13.8">
      <c r="A306" s="155"/>
      <c r="B306" s="155"/>
      <c r="C306" s="359" t="s">
        <v>3189</v>
      </c>
      <c r="D306" s="113"/>
      <c r="E306" s="113"/>
      <c r="F306" s="113"/>
      <c r="G306" s="113"/>
      <c r="H306" s="113"/>
      <c r="I306" s="113"/>
      <c r="J306" s="358" t="s">
        <v>2638</v>
      </c>
      <c r="K306" s="209"/>
      <c r="L306" s="166"/>
      <c r="M306" s="250"/>
      <c r="N306" s="251"/>
      <c r="Q306" s="155"/>
      <c r="R306" s="155"/>
      <c r="S306" s="155"/>
    </row>
    <row r="307" spans="1:19" ht="13.8">
      <c r="A307" s="155"/>
      <c r="B307" s="155"/>
      <c r="C307" s="359"/>
      <c r="D307" s="113"/>
      <c r="E307" s="113"/>
      <c r="F307" s="113"/>
      <c r="G307" s="113"/>
      <c r="H307" s="113"/>
      <c r="I307" s="113"/>
      <c r="J307" s="358" t="s">
        <v>2639</v>
      </c>
      <c r="K307" s="209"/>
      <c r="L307" s="166"/>
      <c r="M307" s="250"/>
      <c r="N307" s="251"/>
      <c r="Q307" s="155"/>
      <c r="R307" s="155"/>
      <c r="S307" s="155"/>
    </row>
    <row r="308" spans="1:19" ht="13.8">
      <c r="A308" s="155"/>
      <c r="B308" s="155"/>
      <c r="C308" s="166" t="s">
        <v>2800</v>
      </c>
      <c r="D308" s="113"/>
      <c r="E308" s="113"/>
      <c r="F308" s="113"/>
      <c r="G308" s="113"/>
      <c r="H308" s="113"/>
      <c r="I308" s="113"/>
      <c r="J308" s="358" t="s">
        <v>2640</v>
      </c>
      <c r="K308" s="209"/>
      <c r="L308" s="166"/>
      <c r="M308" s="250"/>
      <c r="N308" s="251"/>
      <c r="Q308" s="155"/>
      <c r="R308" s="155"/>
      <c r="S308" s="155"/>
    </row>
    <row r="309" spans="1:19" ht="13.8">
      <c r="A309" s="155"/>
      <c r="B309" s="155"/>
      <c r="C309" s="360" t="s">
        <v>2098</v>
      </c>
      <c r="D309" s="113"/>
      <c r="E309" s="113"/>
      <c r="F309" s="113"/>
      <c r="G309" s="113"/>
      <c r="H309" s="113"/>
      <c r="I309" s="113"/>
      <c r="J309" s="358" t="s">
        <v>2641</v>
      </c>
      <c r="K309" s="209"/>
      <c r="L309" s="166"/>
      <c r="M309" s="250"/>
      <c r="N309" s="251"/>
      <c r="Q309" s="155"/>
      <c r="R309" s="155"/>
      <c r="S309" s="155"/>
    </row>
    <row r="310" spans="1:19" ht="13.8">
      <c r="A310" s="155"/>
      <c r="B310" s="155"/>
      <c r="C310" s="360" t="s">
        <v>2099</v>
      </c>
      <c r="D310" s="113"/>
      <c r="E310" s="113"/>
      <c r="F310" s="113"/>
      <c r="G310" s="113"/>
      <c r="H310" s="113"/>
      <c r="I310" s="113"/>
      <c r="J310" s="358" t="s">
        <v>2642</v>
      </c>
      <c r="K310" s="209"/>
      <c r="L310" s="166"/>
      <c r="M310" s="250"/>
      <c r="N310" s="251"/>
      <c r="Q310" s="155"/>
      <c r="R310" s="155"/>
      <c r="S310" s="155"/>
    </row>
    <row r="311" spans="1:19" ht="13.8">
      <c r="A311" s="155"/>
      <c r="B311" s="155"/>
      <c r="C311" s="361" t="s">
        <v>3230</v>
      </c>
      <c r="D311" s="113"/>
      <c r="E311" s="113"/>
      <c r="F311" s="113"/>
      <c r="G311" s="113"/>
      <c r="H311" s="113"/>
      <c r="I311" s="113"/>
      <c r="J311" s="358" t="s">
        <v>2643</v>
      </c>
      <c r="K311" s="209"/>
      <c r="L311" s="166"/>
      <c r="M311" s="250"/>
      <c r="N311" s="251"/>
      <c r="Q311" s="155"/>
      <c r="R311" s="155"/>
      <c r="S311" s="155"/>
    </row>
    <row r="312" spans="1:19" ht="13.8">
      <c r="A312" s="155"/>
      <c r="B312" s="155"/>
      <c r="C312" s="361" t="s">
        <v>2095</v>
      </c>
      <c r="D312" s="113"/>
      <c r="E312" s="113"/>
      <c r="F312" s="113"/>
      <c r="G312" s="113"/>
      <c r="H312" s="113"/>
      <c r="I312" s="113"/>
      <c r="J312" s="358" t="s">
        <v>906</v>
      </c>
      <c r="K312" s="209"/>
      <c r="L312" s="166"/>
      <c r="M312" s="250"/>
      <c r="N312" s="251"/>
      <c r="Q312" s="155"/>
      <c r="R312" s="155"/>
      <c r="S312" s="155"/>
    </row>
    <row r="313" spans="1:19" ht="13.8">
      <c r="A313" s="155"/>
      <c r="B313" s="155"/>
      <c r="C313" s="361" t="s">
        <v>2096</v>
      </c>
      <c r="D313" s="113"/>
      <c r="E313" s="113"/>
      <c r="F313" s="113"/>
      <c r="G313" s="113"/>
      <c r="H313" s="113"/>
      <c r="I313" s="113"/>
      <c r="J313" s="358" t="s">
        <v>2644</v>
      </c>
      <c r="K313" s="209"/>
      <c r="L313" s="166"/>
      <c r="M313" s="250"/>
      <c r="N313" s="251"/>
      <c r="Q313" s="155"/>
      <c r="R313" s="155"/>
      <c r="S313" s="155"/>
    </row>
    <row r="314" spans="1:19" ht="13.8">
      <c r="A314" s="155"/>
      <c r="B314" s="155"/>
      <c r="C314" s="360" t="s">
        <v>3225</v>
      </c>
      <c r="D314" s="113"/>
      <c r="E314" s="113"/>
      <c r="F314" s="113"/>
      <c r="G314" s="113"/>
      <c r="H314" s="113"/>
      <c r="I314" s="113"/>
      <c r="J314" s="358" t="s">
        <v>2645</v>
      </c>
      <c r="K314" s="209"/>
      <c r="L314" s="166"/>
      <c r="M314" s="250"/>
      <c r="N314" s="251"/>
      <c r="Q314" s="155"/>
      <c r="R314" s="155"/>
      <c r="S314" s="155"/>
    </row>
    <row r="315" spans="1:19" ht="13.8">
      <c r="A315" s="155"/>
      <c r="B315" s="155"/>
      <c r="C315" s="360" t="s">
        <v>3226</v>
      </c>
      <c r="D315" s="113"/>
      <c r="E315" s="113"/>
      <c r="F315" s="113"/>
      <c r="G315" s="113"/>
      <c r="H315" s="113"/>
      <c r="I315" s="113"/>
      <c r="J315" s="358" t="s">
        <v>2646</v>
      </c>
      <c r="K315" s="166"/>
      <c r="L315" s="166"/>
      <c r="M315" s="250"/>
      <c r="N315" s="251"/>
      <c r="Q315" s="155"/>
      <c r="R315" s="155"/>
      <c r="S315" s="155"/>
    </row>
    <row r="316" spans="1:19" ht="13.8">
      <c r="A316" s="155"/>
      <c r="B316" s="155"/>
      <c r="C316" s="360" t="s">
        <v>3227</v>
      </c>
      <c r="D316" s="166"/>
      <c r="E316" s="166"/>
      <c r="F316" s="166"/>
      <c r="G316" s="166"/>
      <c r="H316" s="166"/>
      <c r="I316" s="166"/>
      <c r="J316" s="358" t="s">
        <v>41</v>
      </c>
      <c r="K316" s="166"/>
      <c r="L316" s="166"/>
      <c r="M316" s="250"/>
      <c r="N316" s="251"/>
      <c r="Q316" s="155"/>
      <c r="R316" s="155"/>
      <c r="S316" s="155"/>
    </row>
    <row r="317" spans="1:19" ht="13.8">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2248</v>
      </c>
      <c r="H323" s="672" t="s">
        <v>2249</v>
      </c>
      <c r="I323" s="672" t="s">
        <v>2250</v>
      </c>
      <c r="J323" s="166"/>
      <c r="K323" s="166"/>
      <c r="L323" s="166"/>
      <c r="M323" s="250"/>
      <c r="N323" s="251"/>
    </row>
    <row r="324" spans="1:19" ht="20.399999999999999">
      <c r="A324" s="155"/>
      <c r="B324" s="155"/>
      <c r="C324" s="166"/>
      <c r="D324" s="166"/>
      <c r="E324" s="166"/>
      <c r="F324" s="166"/>
      <c r="G324" s="673" t="s">
        <v>3809</v>
      </c>
      <c r="H324" s="673" t="s">
        <v>3810</v>
      </c>
      <c r="I324" s="673" t="s">
        <v>1837</v>
      </c>
      <c r="J324" s="166"/>
      <c r="K324" s="166"/>
      <c r="L324" s="166"/>
      <c r="M324" s="250"/>
      <c r="N324" s="251"/>
    </row>
    <row r="325" spans="1:19" ht="20.399999999999999">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3167</v>
      </c>
      <c r="H326" s="674" t="s">
        <v>2033</v>
      </c>
      <c r="I326" s="674" t="s">
        <v>2030</v>
      </c>
      <c r="J326" s="166"/>
      <c r="K326" s="166"/>
      <c r="L326" s="166"/>
      <c r="M326" s="250"/>
      <c r="N326" s="251"/>
    </row>
    <row r="327" spans="1:19">
      <c r="A327" s="155"/>
      <c r="B327" s="155"/>
      <c r="C327" s="166"/>
      <c r="D327" s="166"/>
      <c r="E327" s="166"/>
      <c r="F327" s="166"/>
      <c r="G327" s="673" t="s">
        <v>2546</v>
      </c>
      <c r="H327" s="674" t="s">
        <v>3830</v>
      </c>
      <c r="I327" s="674" t="s">
        <v>2033</v>
      </c>
      <c r="J327" s="166"/>
      <c r="K327" s="166"/>
      <c r="L327" s="166"/>
      <c r="M327" s="250"/>
      <c r="N327" s="251"/>
    </row>
    <row r="328" spans="1:19" ht="20.399999999999999">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2033</v>
      </c>
      <c r="H329" s="674" t="s">
        <v>3000</v>
      </c>
      <c r="I329" s="674" t="s">
        <v>3763</v>
      </c>
      <c r="J329" s="166"/>
      <c r="K329" s="166"/>
      <c r="L329" s="166"/>
      <c r="M329" s="250"/>
      <c r="N329" s="251"/>
    </row>
    <row r="330" spans="1:19">
      <c r="A330" s="155"/>
      <c r="B330" s="155"/>
      <c r="C330" s="166"/>
      <c r="D330" s="166"/>
      <c r="E330" s="166"/>
      <c r="F330" s="166"/>
      <c r="G330" s="673" t="s">
        <v>2251</v>
      </c>
      <c r="H330" s="674" t="s">
        <v>3412</v>
      </c>
      <c r="I330" s="674" t="s">
        <v>3765</v>
      </c>
      <c r="J330" s="166"/>
      <c r="K330" s="166"/>
      <c r="L330" s="166"/>
      <c r="M330" s="250"/>
      <c r="N330" s="251"/>
    </row>
    <row r="331" spans="1:19">
      <c r="A331" s="155"/>
      <c r="B331" s="155"/>
      <c r="C331" s="166"/>
      <c r="D331" s="166"/>
      <c r="E331" s="166"/>
      <c r="F331" s="166"/>
      <c r="G331" s="673" t="s">
        <v>1642</v>
      </c>
      <c r="H331" s="674" t="s">
        <v>3832</v>
      </c>
      <c r="I331" s="674" t="s">
        <v>3818</v>
      </c>
      <c r="J331" s="166"/>
      <c r="K331" s="166"/>
      <c r="L331" s="166"/>
      <c r="M331" s="250"/>
      <c r="N331" s="251"/>
    </row>
    <row r="332" spans="1:19">
      <c r="A332" s="155"/>
      <c r="B332" s="155"/>
      <c r="C332" s="166"/>
      <c r="D332" s="166"/>
      <c r="E332" s="166"/>
      <c r="F332" s="166"/>
      <c r="G332" s="673" t="s">
        <v>3765</v>
      </c>
      <c r="H332" s="674" t="s">
        <v>1003</v>
      </c>
      <c r="I332" s="674" t="s">
        <v>254</v>
      </c>
      <c r="J332" s="166"/>
      <c r="K332" s="166"/>
      <c r="L332" s="166"/>
      <c r="M332" s="250"/>
      <c r="N332" s="251"/>
    </row>
    <row r="333" spans="1:19">
      <c r="A333" s="155"/>
      <c r="B333" s="155"/>
      <c r="C333" s="166"/>
      <c r="D333" s="166"/>
      <c r="E333" s="166"/>
      <c r="F333" s="166"/>
      <c r="G333" s="673" t="s">
        <v>3154</v>
      </c>
      <c r="H333" s="674" t="s">
        <v>2633</v>
      </c>
      <c r="I333" s="674" t="s">
        <v>1549</v>
      </c>
      <c r="J333" s="166"/>
      <c r="K333" s="166"/>
      <c r="L333" s="166"/>
      <c r="M333" s="250"/>
      <c r="N333" s="251"/>
    </row>
    <row r="334" spans="1:19">
      <c r="A334" s="155"/>
      <c r="B334" s="155"/>
      <c r="C334" s="166"/>
      <c r="D334" s="166"/>
      <c r="E334" s="166"/>
      <c r="F334" s="166"/>
      <c r="G334" s="673" t="s">
        <v>934</v>
      </c>
      <c r="H334" s="674" t="s">
        <v>3833</v>
      </c>
      <c r="I334" s="674" t="s">
        <v>1551</v>
      </c>
      <c r="J334" s="166"/>
      <c r="K334" s="166"/>
      <c r="L334" s="166"/>
      <c r="M334" s="250"/>
      <c r="N334" s="251"/>
    </row>
    <row r="335" spans="1:19" ht="20.399999999999999">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3400</v>
      </c>
      <c r="I336" s="674" t="s">
        <v>1469</v>
      </c>
      <c r="J336" s="166"/>
      <c r="K336" s="166"/>
      <c r="L336" s="166"/>
      <c r="M336" s="250"/>
      <c r="N336" s="251"/>
    </row>
    <row r="337" spans="1:14">
      <c r="A337" s="155"/>
      <c r="B337" s="155"/>
      <c r="C337" s="166"/>
      <c r="D337" s="166"/>
      <c r="E337" s="166"/>
      <c r="F337" s="166"/>
      <c r="G337" s="673" t="s">
        <v>669</v>
      </c>
      <c r="H337" s="674" t="s">
        <v>2953</v>
      </c>
      <c r="I337" s="674" t="s">
        <v>1008</v>
      </c>
      <c r="J337" s="166"/>
      <c r="K337" s="166"/>
      <c r="L337" s="166"/>
      <c r="M337" s="250"/>
      <c r="N337" s="251"/>
    </row>
    <row r="338" spans="1:14" ht="40.799999999999997">
      <c r="A338" s="155"/>
      <c r="B338" s="155"/>
      <c r="C338" s="166"/>
      <c r="D338" s="166"/>
      <c r="E338" s="166"/>
      <c r="F338" s="166"/>
      <c r="G338" s="673" t="s">
        <v>298</v>
      </c>
      <c r="H338" s="674" t="s">
        <v>3836</v>
      </c>
      <c r="I338" s="674" t="s">
        <v>1013</v>
      </c>
      <c r="J338" s="166"/>
      <c r="K338" s="166"/>
      <c r="L338" s="166"/>
      <c r="M338" s="250"/>
      <c r="N338" s="251"/>
    </row>
    <row r="339" spans="1:14" ht="20.399999999999999">
      <c r="A339" s="155"/>
      <c r="B339" s="155"/>
      <c r="C339" s="166"/>
      <c r="D339" s="166"/>
      <c r="E339" s="166"/>
      <c r="F339" s="166"/>
      <c r="G339" s="673" t="s">
        <v>2548</v>
      </c>
      <c r="H339" s="674" t="s">
        <v>3829</v>
      </c>
      <c r="I339" s="674" t="s">
        <v>407</v>
      </c>
      <c r="J339" s="166"/>
      <c r="K339" s="166"/>
      <c r="L339" s="166"/>
      <c r="M339" s="250"/>
      <c r="N339" s="251"/>
    </row>
    <row r="340" spans="1:14" ht="20.399999999999999">
      <c r="A340" s="155"/>
      <c r="B340" s="155"/>
      <c r="C340" s="166"/>
      <c r="D340" s="166"/>
      <c r="E340" s="166"/>
      <c r="F340" s="166"/>
      <c r="G340" s="673" t="s">
        <v>881</v>
      </c>
      <c r="H340" s="674" t="s">
        <v>3834</v>
      </c>
      <c r="I340" s="674" t="s">
        <v>416</v>
      </c>
      <c r="J340" s="166"/>
      <c r="K340" s="166"/>
      <c r="L340" s="166"/>
      <c r="M340" s="250"/>
      <c r="N340" s="251"/>
    </row>
    <row r="341" spans="1:14">
      <c r="A341" s="155"/>
      <c r="B341" s="155"/>
      <c r="C341" s="166"/>
      <c r="D341" s="166"/>
      <c r="E341" s="166"/>
      <c r="F341" s="166"/>
      <c r="G341" s="673" t="s">
        <v>2549</v>
      </c>
      <c r="H341" s="674" t="s">
        <v>3835</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3191</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30.6">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3389</v>
      </c>
      <c r="H349" s="674"/>
      <c r="I349" s="674" t="s">
        <v>2540</v>
      </c>
      <c r="J349" s="166"/>
      <c r="K349" s="166"/>
      <c r="L349" s="166"/>
      <c r="M349" s="250"/>
      <c r="N349" s="251"/>
    </row>
    <row r="350" spans="1:14">
      <c r="A350" s="155"/>
      <c r="B350" s="155"/>
      <c r="C350" s="166"/>
      <c r="D350" s="166"/>
      <c r="E350" s="166"/>
      <c r="F350" s="166"/>
      <c r="G350" s="673" t="s">
        <v>3391</v>
      </c>
      <c r="H350" s="674"/>
      <c r="I350" s="674" t="s">
        <v>1742</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0.399999999999999">
      <c r="A352" s="155"/>
      <c r="B352" s="155"/>
      <c r="C352" s="166"/>
      <c r="D352" s="166"/>
      <c r="E352" s="166"/>
      <c r="F352" s="166"/>
      <c r="G352" s="673" t="s">
        <v>2551</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c r="A356" s="155"/>
      <c r="B356" s="155"/>
      <c r="C356" s="675"/>
      <c r="D356" s="675"/>
      <c r="E356" s="166"/>
      <c r="F356" s="166"/>
      <c r="G356" s="639" t="s">
        <v>2718</v>
      </c>
      <c r="H356" s="507"/>
      <c r="I356" s="674" t="s">
        <v>2662</v>
      </c>
      <c r="J356" s="166"/>
      <c r="K356" s="166"/>
      <c r="L356" s="166"/>
      <c r="M356" s="250"/>
      <c r="N356" s="251"/>
    </row>
    <row r="357" spans="1:14">
      <c r="A357" s="155"/>
      <c r="B357" s="155"/>
      <c r="C357" s="675"/>
      <c r="D357" s="675"/>
      <c r="E357" s="166"/>
      <c r="F357" s="166"/>
      <c r="G357" s="639" t="s">
        <v>120</v>
      </c>
      <c r="H357" s="507"/>
      <c r="I357" s="568" t="s">
        <v>118</v>
      </c>
      <c r="J357" s="166"/>
      <c r="K357" s="166"/>
      <c r="L357" s="166"/>
      <c r="M357" s="250"/>
      <c r="N357" s="251"/>
    </row>
    <row r="358" spans="1:14">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3632</v>
      </c>
      <c r="J359" s="166"/>
      <c r="K359" s="166"/>
      <c r="L359" s="166"/>
      <c r="M359" s="155"/>
    </row>
    <row r="360" spans="1:14">
      <c r="A360" s="155"/>
      <c r="B360" s="155"/>
      <c r="C360" s="675"/>
      <c r="D360" s="123"/>
      <c r="E360" s="123"/>
      <c r="F360" s="123"/>
      <c r="G360" s="677" t="s">
        <v>2297</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7" t="s">
        <v>803</v>
      </c>
    </row>
    <row r="2" spans="1:6" ht="13.8">
      <c r="A2" s="788" t="str">
        <f>'Part I-Project Information'!F22</f>
        <v xml:space="preserve">Hampton Court </v>
      </c>
    </row>
    <row r="3" spans="1:6" ht="13.8">
      <c r="A3" s="788" t="str">
        <f>CONCATENATE('Part I-Project Information'!F24,", ", 'Part I-Project Information'!J25," County")</f>
        <v>Hampton, Henry County</v>
      </c>
    </row>
    <row r="4" spans="1:6" ht="12" customHeight="1"/>
    <row r="5" spans="1:6" ht="111" customHeight="1">
      <c r="A5" s="789"/>
      <c r="B5" s="945" t="s">
        <v>1591</v>
      </c>
      <c r="C5" s="945"/>
      <c r="D5" s="945"/>
      <c r="E5" s="945"/>
      <c r="F5" s="945"/>
    </row>
    <row r="6" spans="1:6" ht="6.6" customHeight="1">
      <c r="A6" s="790"/>
      <c r="B6" s="945"/>
      <c r="C6" s="945"/>
      <c r="D6" s="945"/>
      <c r="E6" s="945"/>
      <c r="F6" s="945"/>
    </row>
    <row r="7" spans="1:6" ht="111" customHeight="1">
      <c r="A7" s="789"/>
      <c r="C7" s="791"/>
    </row>
    <row r="8" spans="1:6" ht="6.6" customHeight="1">
      <c r="A8" s="790"/>
    </row>
    <row r="9" spans="1:6" ht="111" customHeight="1">
      <c r="A9" s="789"/>
    </row>
    <row r="10" spans="1:6" ht="6.6" customHeight="1">
      <c r="A10" s="790"/>
    </row>
    <row r="11" spans="1:6" ht="111" customHeight="1">
      <c r="A11" s="789"/>
    </row>
    <row r="12" spans="1:6" ht="6.6" customHeight="1">
      <c r="A12" s="790"/>
    </row>
    <row r="13" spans="1:6" ht="111" customHeight="1">
      <c r="A13" s="789"/>
    </row>
    <row r="14" spans="1:6" ht="6.6" customHeight="1">
      <c r="A14" s="790"/>
    </row>
    <row r="15" spans="1:6" ht="111" customHeight="1">
      <c r="A15" s="789"/>
    </row>
    <row r="16" spans="1:6" ht="6.6" customHeight="1">
      <c r="A16" s="790"/>
    </row>
    <row r="17" spans="1:1" ht="111" customHeight="1">
      <c r="A17" s="789"/>
    </row>
    <row r="18" spans="1:1" ht="6.6" customHeight="1">
      <c r="A18" s="790"/>
    </row>
    <row r="19" spans="1:1" ht="111" customHeight="1">
      <c r="A19" s="789"/>
    </row>
    <row r="20" spans="1:1" ht="6.6" customHeight="1">
      <c r="A20" s="790"/>
    </row>
    <row r="21" spans="1:1" ht="111" customHeight="1">
      <c r="A21" s="789"/>
    </row>
    <row r="22" spans="1:1" ht="6.6" customHeight="1">
      <c r="A22" s="790"/>
    </row>
    <row r="23" spans="1:1" ht="111" customHeight="1">
      <c r="A23" s="789"/>
    </row>
    <row r="24" spans="1:1" ht="6.6" customHeight="1">
      <c r="A24" s="790"/>
    </row>
    <row r="25" spans="1:1" ht="111" customHeight="1">
      <c r="A25" s="789"/>
    </row>
    <row r="26" spans="1:1" ht="6.6" customHeight="1">
      <c r="A26" s="790"/>
    </row>
    <row r="27" spans="1:1" ht="111" customHeight="1">
      <c r="A27" s="789"/>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25" workbookViewId="0">
      <selection activeCell="B35" sqref="B35:M35"/>
    </sheetView>
  </sheetViews>
  <sheetFormatPr defaultColWidth="8.88671875" defaultRowHeight="15.6"/>
  <cols>
    <col min="1" max="1" width="3.6640625" style="777" customWidth="1"/>
    <col min="2" max="6" width="6.44140625" style="777" customWidth="1"/>
    <col min="7" max="7" width="9.6640625" style="777" customWidth="1"/>
    <col min="8" max="13" width="6.44140625" style="777" customWidth="1"/>
    <col min="14" max="15" width="5.88671875" style="777" customWidth="1"/>
    <col min="16" max="16384" width="8.88671875" style="777"/>
  </cols>
  <sheetData>
    <row r="1" spans="1:26" ht="18">
      <c r="N1" s="778" t="s">
        <v>2242</v>
      </c>
      <c r="O1" s="778"/>
      <c r="P1" s="778"/>
      <c r="Q1" s="778"/>
      <c r="R1" s="778"/>
      <c r="S1" s="778"/>
      <c r="T1" s="778"/>
      <c r="U1" s="778"/>
      <c r="V1" s="778"/>
      <c r="W1" s="778"/>
      <c r="X1" s="778"/>
      <c r="Y1" s="778"/>
      <c r="Z1" s="778"/>
    </row>
    <row r="3" spans="1:26">
      <c r="N3" s="779" t="s">
        <v>2243</v>
      </c>
      <c r="O3" s="779"/>
      <c r="P3" s="779"/>
      <c r="Q3" s="779"/>
      <c r="R3" s="779"/>
      <c r="S3" s="779"/>
      <c r="T3" s="779"/>
      <c r="U3" s="779"/>
      <c r="V3" s="779"/>
      <c r="W3" s="779"/>
      <c r="X3" s="779"/>
      <c r="Y3" s="779"/>
      <c r="Z3" s="779"/>
    </row>
    <row r="4" spans="1:26">
      <c r="N4" s="780" t="s">
        <v>2244</v>
      </c>
      <c r="O4" s="780"/>
      <c r="P4" s="780"/>
      <c r="Q4" s="780"/>
      <c r="R4" s="780"/>
      <c r="S4" s="780"/>
      <c r="T4" s="780"/>
      <c r="U4" s="780"/>
      <c r="V4" s="780"/>
      <c r="W4" s="780"/>
      <c r="X4" s="780"/>
      <c r="Y4" s="780"/>
      <c r="Z4" s="780"/>
    </row>
    <row r="6" spans="1:26">
      <c r="B6" s="781"/>
      <c r="C6" s="781"/>
      <c r="D6" s="781"/>
      <c r="E6" s="781"/>
      <c r="F6" s="781"/>
      <c r="G6" s="781"/>
      <c r="H6" s="781"/>
      <c r="I6" s="781"/>
      <c r="J6" s="781"/>
      <c r="K6" s="781"/>
      <c r="L6" s="781"/>
      <c r="M6" s="781"/>
      <c r="N6" s="782" t="s">
        <v>1059</v>
      </c>
    </row>
    <row r="7" spans="1:26" ht="11.4" customHeight="1">
      <c r="A7" s="781"/>
      <c r="B7" s="781"/>
      <c r="C7" s="781"/>
      <c r="D7" s="781"/>
      <c r="E7" s="781"/>
      <c r="F7" s="781"/>
      <c r="G7" s="781"/>
      <c r="H7" s="781"/>
      <c r="I7" s="781"/>
      <c r="J7" s="781"/>
      <c r="K7" s="781"/>
      <c r="L7" s="781"/>
      <c r="M7" s="781"/>
    </row>
    <row r="8" spans="1:26" ht="63.6" customHeight="1">
      <c r="A8" s="1563" t="s">
        <v>3474</v>
      </c>
      <c r="B8" s="1563"/>
      <c r="C8" s="1563"/>
      <c r="D8" s="1563"/>
      <c r="E8" s="1563"/>
      <c r="F8" s="1563"/>
      <c r="G8" s="1563"/>
      <c r="H8" s="1563"/>
      <c r="I8" s="1563"/>
      <c r="J8" s="1563"/>
      <c r="K8" s="1563"/>
      <c r="L8" s="1563"/>
      <c r="M8" s="1563"/>
    </row>
    <row r="9" spans="1:26" ht="11.4" customHeight="1">
      <c r="A9" s="781"/>
      <c r="B9" s="781"/>
      <c r="C9" s="781"/>
      <c r="D9" s="781"/>
      <c r="E9" s="781"/>
      <c r="F9" s="781"/>
      <c r="G9" s="781"/>
      <c r="H9" s="781"/>
      <c r="I9" s="781"/>
      <c r="J9" s="781"/>
      <c r="K9" s="781"/>
      <c r="L9" s="781"/>
      <c r="M9" s="781"/>
    </row>
    <row r="10" spans="1:26">
      <c r="A10" s="781" t="s">
        <v>1064</v>
      </c>
      <c r="B10" s="781"/>
      <c r="C10" s="781"/>
      <c r="D10" s="781"/>
      <c r="E10" s="781"/>
      <c r="F10" s="781"/>
      <c r="G10" s="781"/>
      <c r="H10" s="781"/>
      <c r="I10" s="781"/>
      <c r="J10" s="781"/>
      <c r="K10" s="781"/>
      <c r="L10" s="781"/>
      <c r="M10" s="781"/>
    </row>
    <row r="11" spans="1:26" ht="11.4" customHeight="1">
      <c r="A11" s="781"/>
      <c r="B11" s="781"/>
      <c r="C11" s="781"/>
      <c r="D11" s="781"/>
      <c r="E11" s="781"/>
      <c r="F11" s="781"/>
      <c r="G11" s="781"/>
      <c r="H11" s="781"/>
      <c r="I11" s="781"/>
      <c r="J11" s="781"/>
      <c r="K11" s="781"/>
      <c r="L11" s="781"/>
      <c r="M11" s="781"/>
    </row>
    <row r="12" spans="1:26">
      <c r="A12" s="1564" t="s">
        <v>2969</v>
      </c>
      <c r="B12" s="1564"/>
      <c r="C12" s="1564"/>
      <c r="D12" s="1564"/>
      <c r="E12" s="1564"/>
      <c r="F12" s="1564"/>
      <c r="G12" s="1564"/>
      <c r="H12" s="1564"/>
      <c r="I12" s="1564"/>
      <c r="J12" s="1564"/>
      <c r="K12" s="1564"/>
      <c r="L12" s="1564"/>
      <c r="M12" s="1564"/>
    </row>
    <row r="13" spans="1:26" ht="11.4" customHeight="1">
      <c r="A13" s="1564"/>
      <c r="B13" s="1564"/>
      <c r="C13" s="1564"/>
      <c r="D13" s="1564"/>
      <c r="E13" s="1564"/>
      <c r="F13" s="1564"/>
      <c r="G13" s="1564"/>
      <c r="H13" s="1564"/>
      <c r="I13" s="1564"/>
      <c r="J13" s="1564"/>
      <c r="K13" s="1564"/>
      <c r="L13" s="1564"/>
      <c r="M13" s="1564"/>
    </row>
    <row r="14" spans="1:26" ht="48.6" customHeight="1">
      <c r="A14" s="1565" t="s">
        <v>802</v>
      </c>
      <c r="B14" s="1565"/>
      <c r="C14" s="1565"/>
      <c r="D14" s="1565"/>
      <c r="E14" s="1565"/>
      <c r="F14" s="1565"/>
      <c r="G14" s="1565"/>
      <c r="H14" s="1565"/>
      <c r="I14" s="1565"/>
      <c r="J14" s="1565"/>
      <c r="K14" s="1565"/>
      <c r="L14" s="1565"/>
      <c r="M14" s="1565"/>
    </row>
    <row r="15" spans="1:26" ht="3" customHeight="1">
      <c r="A15" s="1564"/>
      <c r="B15" s="1564"/>
      <c r="C15" s="1564"/>
      <c r="D15" s="1564"/>
      <c r="E15" s="1564"/>
      <c r="F15" s="1564"/>
      <c r="G15" s="1564"/>
      <c r="H15" s="1564"/>
      <c r="I15" s="1564"/>
      <c r="J15" s="1564"/>
      <c r="K15" s="1564"/>
      <c r="L15" s="1564"/>
      <c r="M15" s="1564"/>
    </row>
    <row r="16" spans="1:26" ht="60" customHeight="1">
      <c r="A16" s="783" t="s">
        <v>2764</v>
      </c>
      <c r="B16" s="1566" t="s">
        <v>111</v>
      </c>
      <c r="C16" s="1566"/>
      <c r="D16" s="1566"/>
      <c r="E16" s="1566"/>
      <c r="F16" s="1566"/>
      <c r="G16" s="1566"/>
      <c r="H16" s="1566"/>
      <c r="I16" s="1566"/>
      <c r="J16" s="1566"/>
      <c r="K16" s="1566"/>
      <c r="L16" s="1566"/>
      <c r="M16" s="1566"/>
    </row>
    <row r="17" spans="1:13" ht="3" customHeight="1">
      <c r="A17" s="1564"/>
      <c r="B17" s="1564"/>
      <c r="C17" s="1564"/>
      <c r="D17" s="1564"/>
      <c r="E17" s="1564"/>
      <c r="F17" s="1564"/>
      <c r="G17" s="1564"/>
      <c r="H17" s="1564"/>
      <c r="I17" s="1564"/>
      <c r="J17" s="1564"/>
      <c r="K17" s="1564"/>
      <c r="L17" s="1564"/>
      <c r="M17" s="1564"/>
    </row>
    <row r="18" spans="1:13" ht="120.6" customHeight="1">
      <c r="A18" s="783" t="s">
        <v>2765</v>
      </c>
      <c r="B18" s="1566" t="s">
        <v>980</v>
      </c>
      <c r="C18" s="1566"/>
      <c r="D18" s="1566"/>
      <c r="E18" s="1566"/>
      <c r="F18" s="1566"/>
      <c r="G18" s="1566"/>
      <c r="H18" s="1566"/>
      <c r="I18" s="1566"/>
      <c r="J18" s="1566"/>
      <c r="K18" s="1566"/>
      <c r="L18" s="1566"/>
      <c r="M18" s="1566"/>
    </row>
    <row r="19" spans="1:13" ht="3" customHeight="1">
      <c r="A19" s="1564"/>
      <c r="B19" s="1564"/>
      <c r="C19" s="1564"/>
      <c r="D19" s="1564"/>
      <c r="E19" s="1564"/>
      <c r="F19" s="1564"/>
      <c r="G19" s="1564"/>
      <c r="H19" s="1564"/>
      <c r="I19" s="1564"/>
      <c r="J19" s="1564"/>
      <c r="K19" s="1564"/>
      <c r="L19" s="1564"/>
      <c r="M19" s="1564"/>
    </row>
    <row r="20" spans="1:13" ht="135.6" customHeight="1">
      <c r="A20" s="783" t="s">
        <v>2766</v>
      </c>
      <c r="B20" s="1566" t="s">
        <v>1493</v>
      </c>
      <c r="C20" s="1566"/>
      <c r="D20" s="1566"/>
      <c r="E20" s="1566"/>
      <c r="F20" s="1566"/>
      <c r="G20" s="1566"/>
      <c r="H20" s="1566"/>
      <c r="I20" s="1566"/>
      <c r="J20" s="1566"/>
      <c r="K20" s="1566"/>
      <c r="L20" s="1566"/>
      <c r="M20" s="1566"/>
    </row>
    <row r="21" spans="1:13" ht="3" customHeight="1">
      <c r="A21" s="1564"/>
      <c r="B21" s="1564"/>
      <c r="C21" s="1564"/>
      <c r="D21" s="1564"/>
      <c r="E21" s="1564"/>
      <c r="F21" s="1564"/>
      <c r="G21" s="1564"/>
      <c r="H21" s="1564"/>
      <c r="I21" s="1564"/>
      <c r="J21" s="1564"/>
      <c r="K21" s="1564"/>
      <c r="L21" s="1564"/>
      <c r="M21" s="1564"/>
    </row>
    <row r="22" spans="1:13" ht="65.400000000000006" customHeight="1">
      <c r="A22" s="783" t="s">
        <v>3571</v>
      </c>
      <c r="B22" s="1566" t="s">
        <v>1033</v>
      </c>
      <c r="C22" s="1566"/>
      <c r="D22" s="1566"/>
      <c r="E22" s="1566"/>
      <c r="F22" s="1566"/>
      <c r="G22" s="1566"/>
      <c r="H22" s="1566"/>
      <c r="I22" s="1566"/>
      <c r="J22" s="1566"/>
      <c r="K22" s="1566"/>
      <c r="L22" s="1566"/>
      <c r="M22" s="1566"/>
    </row>
    <row r="23" spans="1:13" ht="165.6" customHeight="1">
      <c r="A23" s="783" t="s">
        <v>2303</v>
      </c>
      <c r="B23" s="1566" t="s">
        <v>3124</v>
      </c>
      <c r="C23" s="1566"/>
      <c r="D23" s="1566"/>
      <c r="E23" s="1566"/>
      <c r="F23" s="1566"/>
      <c r="G23" s="1566"/>
      <c r="H23" s="1566"/>
      <c r="I23" s="1566"/>
      <c r="J23" s="1566"/>
      <c r="K23" s="1566"/>
      <c r="L23" s="1566"/>
      <c r="M23" s="1566"/>
    </row>
    <row r="24" spans="1:13" ht="3" customHeight="1">
      <c r="A24" s="1564"/>
      <c r="B24" s="1564"/>
      <c r="C24" s="1564"/>
      <c r="D24" s="1564"/>
      <c r="E24" s="1564"/>
      <c r="F24" s="1564"/>
      <c r="G24" s="1564"/>
      <c r="H24" s="1564"/>
      <c r="I24" s="1564"/>
      <c r="J24" s="1564"/>
      <c r="K24" s="1564"/>
      <c r="L24" s="1564"/>
      <c r="M24" s="1564"/>
    </row>
    <row r="25" spans="1:13" ht="46.2" customHeight="1">
      <c r="A25" s="783" t="s">
        <v>2304</v>
      </c>
      <c r="B25" s="1566" t="s">
        <v>2191</v>
      </c>
      <c r="C25" s="1566"/>
      <c r="D25" s="1566"/>
      <c r="E25" s="1566"/>
      <c r="F25" s="1566"/>
      <c r="G25" s="1566"/>
      <c r="H25" s="1566"/>
      <c r="I25" s="1566"/>
      <c r="J25" s="1566"/>
      <c r="K25" s="1566"/>
      <c r="L25" s="1566"/>
      <c r="M25" s="1566"/>
    </row>
    <row r="26" spans="1:13" ht="3" customHeight="1">
      <c r="A26" s="1564"/>
      <c r="B26" s="1564"/>
      <c r="C26" s="1564"/>
      <c r="D26" s="1564"/>
      <c r="E26" s="1564"/>
      <c r="F26" s="1564"/>
      <c r="G26" s="1564"/>
      <c r="H26" s="1564"/>
      <c r="I26" s="1564"/>
      <c r="J26" s="1564"/>
      <c r="K26" s="1564"/>
      <c r="L26" s="1564"/>
      <c r="M26" s="1564"/>
    </row>
    <row r="27" spans="1:13">
      <c r="A27" s="783" t="s">
        <v>112</v>
      </c>
      <c r="B27" s="1566" t="s">
        <v>2192</v>
      </c>
      <c r="C27" s="1566"/>
      <c r="D27" s="1566"/>
      <c r="E27" s="1566"/>
      <c r="F27" s="1566"/>
      <c r="G27" s="1566"/>
      <c r="H27" s="1566"/>
      <c r="I27" s="1566"/>
      <c r="J27" s="1566"/>
      <c r="K27" s="1566"/>
      <c r="L27" s="1566"/>
      <c r="M27" s="1566"/>
    </row>
    <row r="28" spans="1:13" ht="12" customHeight="1">
      <c r="A28" s="1564"/>
      <c r="B28" s="1564"/>
      <c r="C28" s="1564"/>
      <c r="D28" s="1564"/>
      <c r="E28" s="1564"/>
      <c r="F28" s="1564"/>
      <c r="G28" s="1564"/>
      <c r="H28" s="1564"/>
      <c r="I28" s="1564"/>
      <c r="J28" s="1564"/>
      <c r="K28" s="1564"/>
      <c r="L28" s="1564"/>
      <c r="M28" s="1564"/>
    </row>
    <row r="29" spans="1:13">
      <c r="A29" s="1564" t="s">
        <v>2193</v>
      </c>
      <c r="B29" s="1564"/>
      <c r="C29" s="1564"/>
      <c r="D29" s="1564"/>
      <c r="E29" s="1564"/>
      <c r="F29" s="1564"/>
      <c r="G29" s="1564"/>
      <c r="H29" s="1564"/>
      <c r="I29" s="1564"/>
      <c r="J29" s="1564"/>
      <c r="K29" s="1564"/>
      <c r="L29" s="1564"/>
      <c r="M29" s="1564"/>
    </row>
    <row r="30" spans="1:13" ht="3" customHeight="1">
      <c r="A30" s="1564"/>
      <c r="B30" s="1564"/>
      <c r="C30" s="1564"/>
      <c r="D30" s="1564"/>
      <c r="E30" s="1564"/>
      <c r="F30" s="1564"/>
      <c r="G30" s="1564"/>
      <c r="H30" s="1564"/>
      <c r="I30" s="1564"/>
      <c r="J30" s="1564"/>
      <c r="K30" s="1564"/>
      <c r="L30" s="1564"/>
      <c r="M30" s="1564"/>
    </row>
    <row r="31" spans="1:13" ht="33" customHeight="1">
      <c r="A31" s="784" t="s">
        <v>2194</v>
      </c>
      <c r="B31" s="1566" t="s">
        <v>2152</v>
      </c>
      <c r="C31" s="1566"/>
      <c r="D31" s="1566"/>
      <c r="E31" s="1566"/>
      <c r="F31" s="1566"/>
      <c r="G31" s="1566"/>
      <c r="H31" s="1566"/>
      <c r="I31" s="1566"/>
      <c r="J31" s="1566"/>
      <c r="K31" s="1566"/>
      <c r="L31" s="1566"/>
      <c r="M31" s="1566"/>
    </row>
    <row r="32" spans="1:13" ht="3" customHeight="1">
      <c r="A32" s="1564"/>
      <c r="B32" s="1564"/>
      <c r="C32" s="1564"/>
      <c r="D32" s="1564"/>
      <c r="E32" s="1564"/>
      <c r="F32" s="1564"/>
      <c r="G32" s="1564"/>
      <c r="H32" s="1564"/>
      <c r="I32" s="1564"/>
      <c r="J32" s="1564"/>
      <c r="K32" s="1564"/>
      <c r="L32" s="1564"/>
      <c r="M32" s="1564"/>
    </row>
    <row r="33" spans="1:13" ht="45.6" customHeight="1">
      <c r="A33" s="784" t="s">
        <v>2194</v>
      </c>
      <c r="B33" s="1566" t="s">
        <v>1789</v>
      </c>
      <c r="C33" s="1566"/>
      <c r="D33" s="1566"/>
      <c r="E33" s="1566"/>
      <c r="F33" s="1566"/>
      <c r="G33" s="1566"/>
      <c r="H33" s="1566"/>
      <c r="I33" s="1566"/>
      <c r="J33" s="1566"/>
      <c r="K33" s="1566"/>
      <c r="L33" s="1566"/>
      <c r="M33" s="1566"/>
    </row>
    <row r="34" spans="1:13" ht="3" customHeight="1">
      <c r="A34" s="1564"/>
      <c r="B34" s="1564"/>
      <c r="C34" s="1564"/>
      <c r="D34" s="1564"/>
      <c r="E34" s="1564"/>
      <c r="F34" s="1564"/>
      <c r="G34" s="1564"/>
      <c r="H34" s="1564"/>
      <c r="I34" s="1564"/>
      <c r="J34" s="1564"/>
      <c r="K34" s="1564"/>
      <c r="L34" s="1564"/>
      <c r="M34" s="1564"/>
    </row>
    <row r="35" spans="1:13" ht="75" customHeight="1">
      <c r="A35" s="784" t="s">
        <v>2194</v>
      </c>
      <c r="B35" s="1566" t="s">
        <v>1775</v>
      </c>
      <c r="C35" s="1566"/>
      <c r="D35" s="1566"/>
      <c r="E35" s="1566"/>
      <c r="F35" s="1566"/>
      <c r="G35" s="1566"/>
      <c r="H35" s="1566"/>
      <c r="I35" s="1566"/>
      <c r="J35" s="1566"/>
      <c r="K35" s="1566"/>
      <c r="L35" s="1566"/>
      <c r="M35" s="1566"/>
    </row>
    <row r="36" spans="1:13" ht="12" customHeight="1">
      <c r="A36" s="1564"/>
      <c r="B36" s="1564"/>
      <c r="C36" s="1564"/>
      <c r="D36" s="1564"/>
      <c r="E36" s="1564"/>
      <c r="F36" s="1564"/>
      <c r="G36" s="1564"/>
      <c r="H36" s="1564"/>
      <c r="I36" s="1564"/>
      <c r="J36" s="1564"/>
      <c r="K36" s="1564"/>
      <c r="L36" s="1564"/>
      <c r="M36" s="1564"/>
    </row>
    <row r="37" spans="1:13" ht="48" customHeight="1">
      <c r="A37" s="1566" t="s">
        <v>1541</v>
      </c>
      <c r="B37" s="1566"/>
      <c r="C37" s="1566"/>
      <c r="D37" s="1566"/>
      <c r="E37" s="1566"/>
      <c r="F37" s="1566"/>
      <c r="G37" s="1566"/>
      <c r="H37" s="1566"/>
      <c r="I37" s="1566"/>
      <c r="J37" s="1566"/>
      <c r="K37" s="1566"/>
      <c r="L37" s="1566"/>
      <c r="M37" s="1566"/>
    </row>
    <row r="38" spans="1:13" ht="3" customHeight="1">
      <c r="A38" s="1564"/>
      <c r="B38" s="1564"/>
      <c r="C38" s="1564"/>
      <c r="D38" s="1564"/>
      <c r="E38" s="1564"/>
      <c r="F38" s="1564"/>
      <c r="G38" s="1564"/>
      <c r="H38" s="1564"/>
      <c r="I38" s="1564"/>
      <c r="J38" s="1564"/>
      <c r="K38" s="1564"/>
      <c r="L38" s="1564"/>
      <c r="M38" s="1564"/>
    </row>
    <row r="39" spans="1:13" ht="36.6" customHeight="1">
      <c r="A39" s="1566" t="s">
        <v>1516</v>
      </c>
      <c r="B39" s="1566"/>
      <c r="C39" s="1566"/>
      <c r="D39" s="1566"/>
      <c r="E39" s="1566"/>
      <c r="F39" s="1566"/>
      <c r="G39" s="1566"/>
      <c r="H39" s="1566"/>
      <c r="I39" s="1566"/>
      <c r="J39" s="1566"/>
      <c r="K39" s="1566"/>
      <c r="L39" s="1566"/>
      <c r="M39" s="1566"/>
    </row>
    <row r="40" spans="1:13" ht="3" customHeight="1">
      <c r="A40" s="1564"/>
      <c r="B40" s="1564"/>
      <c r="C40" s="1564"/>
      <c r="D40" s="1564"/>
      <c r="E40" s="1564"/>
      <c r="F40" s="1564"/>
      <c r="G40" s="1564"/>
      <c r="H40" s="1564"/>
      <c r="I40" s="1564"/>
      <c r="J40" s="1564"/>
      <c r="K40" s="1564"/>
      <c r="L40" s="1564"/>
      <c r="M40" s="1564"/>
    </row>
    <row r="41" spans="1:13">
      <c r="A41" s="1564" t="s">
        <v>1517</v>
      </c>
      <c r="B41" s="1564"/>
      <c r="C41" s="1564"/>
      <c r="D41" s="1564"/>
      <c r="E41" s="1564"/>
      <c r="F41" s="1564"/>
      <c r="G41" s="1564"/>
      <c r="H41" s="1564"/>
      <c r="I41" s="1564"/>
      <c r="J41" s="1564"/>
      <c r="K41" s="1564"/>
      <c r="L41" s="1564"/>
      <c r="M41" s="1564"/>
    </row>
    <row r="42" spans="1:13">
      <c r="A42" s="785"/>
      <c r="B42" s="785"/>
      <c r="C42" s="785"/>
      <c r="D42" s="785"/>
      <c r="E42" s="785"/>
      <c r="F42" s="785"/>
      <c r="G42" s="785"/>
      <c r="H42" s="785"/>
      <c r="I42" s="785"/>
      <c r="J42" s="785"/>
      <c r="K42" s="785"/>
      <c r="L42" s="785"/>
      <c r="M42" s="785"/>
    </row>
    <row r="43" spans="1:13">
      <c r="A43" s="1569"/>
      <c r="B43" s="1569"/>
      <c r="C43" s="1569"/>
      <c r="D43" s="1569"/>
      <c r="E43" s="1569"/>
      <c r="F43" s="1569"/>
      <c r="G43" s="786"/>
      <c r="H43" s="1569"/>
      <c r="I43" s="1569"/>
      <c r="J43" s="1569"/>
      <c r="K43" s="1569"/>
      <c r="L43" s="1569"/>
      <c r="M43" s="1569"/>
    </row>
    <row r="44" spans="1:13" ht="12" customHeight="1">
      <c r="A44" s="1568" t="s">
        <v>1518</v>
      </c>
      <c r="B44" s="1568"/>
      <c r="C44" s="1568"/>
      <c r="D44" s="1568"/>
      <c r="E44" s="1568"/>
      <c r="F44" s="1568"/>
      <c r="G44" s="786"/>
      <c r="H44" s="1568" t="s">
        <v>3057</v>
      </c>
      <c r="I44" s="1568"/>
      <c r="J44" s="1568"/>
      <c r="K44" s="1568"/>
      <c r="L44" s="1568"/>
      <c r="M44" s="1568"/>
    </row>
    <row r="45" spans="1:13">
      <c r="A45" s="786"/>
      <c r="B45" s="786"/>
      <c r="C45" s="786"/>
      <c r="D45" s="786"/>
      <c r="E45" s="786"/>
      <c r="F45" s="786"/>
      <c r="G45" s="786"/>
      <c r="H45" s="786"/>
      <c r="I45" s="786"/>
      <c r="J45" s="786"/>
      <c r="K45" s="786"/>
      <c r="L45" s="786"/>
      <c r="M45" s="786"/>
    </row>
    <row r="46" spans="1:13">
      <c r="A46" s="786"/>
      <c r="B46" s="786"/>
      <c r="C46" s="786"/>
      <c r="D46" s="786"/>
      <c r="E46" s="786"/>
      <c r="F46" s="786"/>
      <c r="G46" s="786"/>
      <c r="H46" s="786"/>
      <c r="I46" s="786"/>
      <c r="J46" s="786"/>
      <c r="K46" s="786"/>
      <c r="L46" s="786"/>
      <c r="M46" s="786"/>
    </row>
    <row r="47" spans="1:13">
      <c r="A47" s="1569"/>
      <c r="B47" s="1569"/>
      <c r="C47" s="1569"/>
      <c r="D47" s="1569"/>
      <c r="E47" s="1569"/>
      <c r="F47" s="1569"/>
      <c r="G47" s="786"/>
      <c r="H47" s="1570"/>
      <c r="I47" s="1570"/>
      <c r="J47" s="1570"/>
      <c r="K47" s="1570"/>
      <c r="L47" s="1570"/>
      <c r="M47" s="1570"/>
    </row>
    <row r="48" spans="1:13" ht="12" customHeight="1">
      <c r="A48" s="1568" t="s">
        <v>1519</v>
      </c>
      <c r="B48" s="1568"/>
      <c r="C48" s="1568"/>
      <c r="D48" s="1568"/>
      <c r="E48" s="1568"/>
      <c r="F48" s="1568"/>
      <c r="G48" s="786"/>
      <c r="H48" s="1568" t="s">
        <v>1520</v>
      </c>
      <c r="I48" s="1568"/>
      <c r="J48" s="1568"/>
      <c r="K48" s="1568"/>
      <c r="L48" s="1568"/>
      <c r="M48" s="1568"/>
    </row>
    <row r="49" spans="1:13" ht="11.4" customHeight="1">
      <c r="A49" s="1564"/>
      <c r="B49" s="1564"/>
      <c r="C49" s="1564"/>
      <c r="D49" s="1564"/>
      <c r="E49" s="1564"/>
      <c r="F49" s="1564"/>
      <c r="G49" s="1564"/>
      <c r="H49" s="1564"/>
      <c r="I49" s="1564"/>
      <c r="J49" s="1564"/>
      <c r="K49" s="1564"/>
      <c r="L49" s="1564"/>
      <c r="M49" s="1564"/>
    </row>
    <row r="50" spans="1:13" ht="11.4" customHeight="1">
      <c r="A50" s="781"/>
      <c r="B50" s="781"/>
      <c r="C50" s="781"/>
      <c r="D50" s="781"/>
      <c r="E50" s="781"/>
      <c r="F50" s="781"/>
      <c r="G50" s="781"/>
      <c r="H50" s="1567" t="s">
        <v>1521</v>
      </c>
      <c r="I50" s="1567"/>
      <c r="J50" s="1567"/>
      <c r="K50" s="1567"/>
      <c r="L50" s="1567"/>
      <c r="M50" s="1567"/>
    </row>
    <row r="51" spans="1:13" ht="11.4" customHeight="1">
      <c r="A51" s="781"/>
      <c r="B51" s="781"/>
      <c r="C51" s="781"/>
      <c r="D51" s="781"/>
      <c r="E51" s="781"/>
      <c r="F51" s="781"/>
      <c r="G51" s="781"/>
    </row>
    <row r="52" spans="1:13" ht="11.4" customHeight="1">
      <c r="A52" s="781"/>
      <c r="B52" s="781"/>
      <c r="C52" s="781"/>
      <c r="D52" s="781"/>
      <c r="E52" s="781"/>
      <c r="F52" s="781"/>
      <c r="G52" s="781"/>
      <c r="H52" s="781"/>
      <c r="I52" s="781"/>
      <c r="J52" s="781"/>
      <c r="K52" s="781"/>
      <c r="L52" s="781"/>
      <c r="M52" s="781"/>
    </row>
    <row r="53" spans="1:13" ht="11.4" customHeight="1">
      <c r="A53" s="781"/>
      <c r="B53" s="781"/>
      <c r="C53" s="781"/>
      <c r="D53" s="781"/>
      <c r="E53" s="781"/>
      <c r="F53" s="781"/>
      <c r="G53" s="781"/>
      <c r="H53" s="781"/>
      <c r="I53" s="781"/>
      <c r="J53" s="781"/>
      <c r="K53" s="781"/>
      <c r="L53" s="781"/>
      <c r="M53" s="781"/>
    </row>
    <row r="54" spans="1:13" ht="11.4" customHeight="1"/>
    <row r="55" spans="1:13" ht="11.4" customHeight="1"/>
    <row r="56" spans="1:13" ht="11.4" customHeight="1"/>
    <row r="57" spans="1:13" ht="11.4" customHeight="1"/>
    <row r="58" spans="1:13" ht="11.4"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abSelected="1" topLeftCell="A43" zoomScale="120" workbookViewId="0">
      <selection activeCell="F52" sqref="F52"/>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4" t="s">
        <v>1090</v>
      </c>
      <c r="B2" s="1575"/>
      <c r="C2" s="1575"/>
      <c r="D2" s="1575"/>
      <c r="E2" s="1575"/>
      <c r="F2" s="1575"/>
      <c r="G2" s="1575"/>
      <c r="H2" s="1575"/>
      <c r="I2" s="1575"/>
      <c r="J2" s="1575"/>
      <c r="K2" s="1575"/>
      <c r="L2" s="1575"/>
      <c r="M2" s="1575"/>
      <c r="N2" s="1575"/>
      <c r="O2" s="1575"/>
      <c r="P2" s="1575"/>
      <c r="Q2" s="1575"/>
      <c r="R2" s="1576"/>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 customHeight="1">
      <c r="A8" s="243"/>
      <c r="B8" s="243"/>
      <c r="C8" s="243"/>
      <c r="D8" s="241"/>
      <c r="E8" s="241"/>
      <c r="F8" s="243" t="s">
        <v>3652</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3613</v>
      </c>
      <c r="K9" s="243"/>
      <c r="L9" s="243"/>
      <c r="M9" s="243"/>
      <c r="N9" s="243"/>
      <c r="O9" s="243"/>
      <c r="P9" s="241"/>
      <c r="Q9" s="424" t="s">
        <v>2760</v>
      </c>
      <c r="R9" s="747">
        <v>0.25</v>
      </c>
      <c r="S9" s="241"/>
      <c r="T9" s="241"/>
      <c r="U9" s="241"/>
      <c r="V9" s="425"/>
      <c r="W9" s="425"/>
      <c r="X9" s="244"/>
    </row>
    <row r="10" spans="1:26" s="418" customFormat="1" ht="11.4" customHeight="1">
      <c r="A10" s="243"/>
      <c r="B10" s="243"/>
      <c r="C10" s="243"/>
      <c r="D10" s="241"/>
      <c r="E10" s="241"/>
      <c r="F10" s="243"/>
      <c r="G10" s="243"/>
      <c r="H10" s="241"/>
      <c r="I10" s="241"/>
      <c r="J10" s="428" t="s">
        <v>716</v>
      </c>
      <c r="K10" s="428" t="s">
        <v>3687</v>
      </c>
      <c r="L10" s="428" t="s">
        <v>3688</v>
      </c>
      <c r="M10" s="428" t="s">
        <v>3689</v>
      </c>
      <c r="N10" s="428" t="s">
        <v>3690</v>
      </c>
      <c r="O10" s="243"/>
      <c r="P10" s="241"/>
      <c r="Q10" s="429"/>
      <c r="R10" s="429"/>
      <c r="S10" s="426"/>
      <c r="T10" s="426"/>
      <c r="U10" s="241"/>
      <c r="V10" s="427"/>
      <c r="W10" s="427"/>
      <c r="X10" s="427"/>
    </row>
    <row r="11" spans="1:26" s="418" customFormat="1" ht="11.4"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9240180</v>
      </c>
      <c r="S11" s="452" t="s">
        <v>1348</v>
      </c>
      <c r="T11" s="426"/>
      <c r="U11" s="241"/>
      <c r="V11" s="427"/>
      <c r="W11" s="427"/>
      <c r="X11" s="427"/>
    </row>
    <row r="12" spans="1:26" s="418" customFormat="1" ht="11.4"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11088240</v>
      </c>
      <c r="S12" s="452" t="s">
        <v>1348</v>
      </c>
      <c r="T12" s="241"/>
      <c r="U12" s="241"/>
      <c r="V12" s="427"/>
      <c r="W12" s="427"/>
      <c r="X12" s="427"/>
    </row>
    <row r="13" spans="1:26" s="418" customFormat="1" ht="11.4"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10164180</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 customHeight="1">
      <c r="A18" s="243"/>
      <c r="B18" s="243"/>
      <c r="C18" s="243"/>
      <c r="D18" s="241"/>
      <c r="E18" s="241"/>
      <c r="F18" s="243" t="s">
        <v>2971</v>
      </c>
      <c r="G18" s="243"/>
      <c r="H18" s="241"/>
      <c r="I18" s="241"/>
      <c r="J18" s="243" t="s">
        <v>2281</v>
      </c>
      <c r="K18" s="243"/>
      <c r="L18" s="243"/>
      <c r="M18" s="243"/>
      <c r="N18" s="243"/>
      <c r="O18" s="243"/>
      <c r="P18" s="241"/>
      <c r="Q18" s="245">
        <v>3000</v>
      </c>
      <c r="R18" s="433" t="s">
        <v>2760</v>
      </c>
      <c r="S18" s="434"/>
    </row>
    <row r="19" spans="1:21" s="418" customFormat="1" ht="11.4"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1857</v>
      </c>
      <c r="C26" s="243"/>
      <c r="D26" s="243"/>
      <c r="E26" s="241"/>
      <c r="F26" s="246" t="s">
        <v>1858</v>
      </c>
      <c r="G26" s="243"/>
      <c r="H26" s="241"/>
      <c r="I26" s="241"/>
      <c r="J26" s="243" t="s">
        <v>1859</v>
      </c>
      <c r="K26" s="243"/>
      <c r="L26" s="243"/>
      <c r="M26" s="243"/>
      <c r="N26" s="243"/>
      <c r="O26" s="243"/>
      <c r="P26" s="241"/>
      <c r="Q26" s="1571">
        <v>4000</v>
      </c>
      <c r="R26" s="1572"/>
      <c r="S26" s="434"/>
      <c r="T26" s="434"/>
      <c r="U26" s="434"/>
    </row>
    <row r="27" spans="1:21" s="418" customFormat="1" ht="11.4" customHeight="1">
      <c r="A27" s="243"/>
      <c r="B27" s="243"/>
      <c r="C27" s="243"/>
      <c r="D27" s="243"/>
      <c r="E27" s="241"/>
      <c r="F27" s="246" t="s">
        <v>1858</v>
      </c>
      <c r="G27" s="243"/>
      <c r="H27" s="241"/>
      <c r="I27" s="241"/>
      <c r="J27" s="243" t="s">
        <v>1860</v>
      </c>
      <c r="K27" s="243"/>
      <c r="L27" s="243"/>
      <c r="M27" s="243"/>
      <c r="N27" s="243"/>
      <c r="O27" s="243"/>
      <c r="P27" s="241"/>
      <c r="Q27" s="1571">
        <v>3000</v>
      </c>
      <c r="R27" s="1572"/>
      <c r="S27" s="434"/>
      <c r="T27" s="434"/>
      <c r="U27" s="434"/>
    </row>
    <row r="28" spans="1:21" s="418" customFormat="1" ht="11.4" customHeight="1">
      <c r="A28" s="241"/>
      <c r="B28" s="241"/>
      <c r="C28" s="243"/>
      <c r="D28" s="243"/>
      <c r="E28" s="241"/>
      <c r="F28" s="246" t="s">
        <v>1861</v>
      </c>
      <c r="G28" s="243"/>
      <c r="H28" s="241"/>
      <c r="I28" s="241"/>
      <c r="J28" s="243" t="s">
        <v>1859</v>
      </c>
      <c r="K28" s="243"/>
      <c r="L28" s="243"/>
      <c r="M28" s="243"/>
      <c r="N28" s="243"/>
      <c r="O28" s="243"/>
      <c r="P28" s="241"/>
      <c r="Q28" s="1571">
        <v>1000</v>
      </c>
      <c r="R28" s="1572"/>
      <c r="S28" s="434"/>
      <c r="T28" s="434"/>
      <c r="U28" s="434"/>
    </row>
    <row r="29" spans="1:21" s="418" customFormat="1" ht="11.4" customHeight="1">
      <c r="A29" s="243"/>
      <c r="B29" s="243"/>
      <c r="C29" s="243"/>
      <c r="D29" s="243"/>
      <c r="E29" s="241"/>
      <c r="F29" s="246" t="s">
        <v>1861</v>
      </c>
      <c r="G29" s="243"/>
      <c r="H29" s="241"/>
      <c r="I29" s="241"/>
      <c r="J29" s="243" t="s">
        <v>1860</v>
      </c>
      <c r="K29" s="243"/>
      <c r="L29" s="243"/>
      <c r="M29" s="243"/>
      <c r="N29" s="243"/>
      <c r="O29" s="243"/>
      <c r="P29" s="241"/>
      <c r="Q29" s="1571">
        <v>500</v>
      </c>
      <c r="R29" s="1572"/>
      <c r="S29" s="434"/>
      <c r="T29" s="434"/>
      <c r="U29" s="434"/>
    </row>
    <row r="30" spans="1:21" s="418" customFormat="1" ht="11.4" customHeight="1">
      <c r="A30" s="243"/>
      <c r="B30" s="243"/>
      <c r="C30" s="243"/>
      <c r="D30" s="243"/>
      <c r="E30" s="241"/>
      <c r="F30" s="246" t="s">
        <v>1251</v>
      </c>
      <c r="G30" s="243"/>
      <c r="H30" s="241"/>
      <c r="I30" s="241"/>
      <c r="J30" s="243" t="s">
        <v>1859</v>
      </c>
      <c r="K30" s="243"/>
      <c r="L30" s="243"/>
      <c r="M30" s="243"/>
      <c r="N30" s="243"/>
      <c r="O30" s="243"/>
      <c r="P30" s="241"/>
      <c r="Q30" s="1571">
        <v>5000</v>
      </c>
      <c r="R30" s="1572"/>
      <c r="S30" s="434"/>
      <c r="T30" s="434"/>
      <c r="U30" s="434"/>
    </row>
    <row r="31" spans="1:21" s="418" customFormat="1" ht="11.4" customHeight="1">
      <c r="A31" s="243"/>
      <c r="B31" s="243"/>
      <c r="C31" s="243"/>
      <c r="D31" s="243"/>
      <c r="E31" s="241"/>
      <c r="F31" s="246" t="s">
        <v>1251</v>
      </c>
      <c r="G31" s="243"/>
      <c r="H31" s="241"/>
      <c r="I31" s="241"/>
      <c r="J31" s="243" t="s">
        <v>1860</v>
      </c>
      <c r="K31" s="243"/>
      <c r="L31" s="243"/>
      <c r="M31" s="243"/>
      <c r="N31" s="243"/>
      <c r="O31" s="243"/>
      <c r="P31" s="241"/>
      <c r="Q31" s="1571">
        <v>3500</v>
      </c>
      <c r="R31" s="1572"/>
      <c r="S31" s="434"/>
      <c r="T31" s="434"/>
      <c r="U31" s="434"/>
    </row>
    <row r="32" spans="1:21" s="418" customFormat="1" ht="11.4"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 customHeight="1">
      <c r="A34" s="243"/>
      <c r="B34" s="243" t="s">
        <v>3038</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 customHeight="1">
      <c r="A35" s="243"/>
      <c r="B35" s="243"/>
      <c r="C35" s="243"/>
      <c r="D35" s="241"/>
      <c r="E35" s="241"/>
      <c r="F35" s="243"/>
      <c r="G35" s="243"/>
      <c r="H35" s="241"/>
      <c r="I35" s="241"/>
      <c r="J35" s="243" t="s">
        <v>3113</v>
      </c>
      <c r="K35" s="243"/>
      <c r="L35" s="243"/>
      <c r="M35" s="243"/>
      <c r="N35" s="243"/>
      <c r="O35" s="243"/>
      <c r="P35" s="241"/>
      <c r="Q35" s="747" t="s">
        <v>1580</v>
      </c>
      <c r="R35" s="424">
        <v>500000</v>
      </c>
      <c r="S35" s="434"/>
      <c r="T35" s="434"/>
      <c r="U35" s="434"/>
    </row>
    <row r="36" spans="1:21" s="418" customFormat="1" ht="11.4"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 customHeight="1">
      <c r="A37" s="243"/>
      <c r="B37" s="243"/>
      <c r="C37" s="243"/>
      <c r="D37" s="241"/>
      <c r="E37" s="241"/>
      <c r="F37" s="243"/>
      <c r="G37" s="243"/>
      <c r="H37" s="241"/>
      <c r="I37" s="241"/>
      <c r="J37" s="243" t="s">
        <v>3113</v>
      </c>
      <c r="K37" s="243"/>
      <c r="L37" s="243"/>
      <c r="M37" s="243"/>
      <c r="N37" s="243"/>
      <c r="O37" s="243"/>
      <c r="P37" s="241"/>
      <c r="Q37" s="747" t="s">
        <v>1580</v>
      </c>
      <c r="R37" s="424">
        <v>500000</v>
      </c>
      <c r="S37" s="434"/>
      <c r="T37" s="434"/>
      <c r="U37" s="434"/>
    </row>
    <row r="38" spans="1:21" s="418" customFormat="1" ht="11.4" customHeight="1">
      <c r="A38" s="243"/>
      <c r="B38" s="243" t="s">
        <v>3128</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 customHeight="1">
      <c r="A39" s="243"/>
      <c r="B39" s="243" t="s">
        <v>3129</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 customHeight="1">
      <c r="A41" s="243"/>
      <c r="B41" s="246" t="s">
        <v>1543</v>
      </c>
      <c r="C41" s="243"/>
      <c r="D41" s="241"/>
      <c r="E41" s="241"/>
      <c r="F41" s="243" t="s">
        <v>1544</v>
      </c>
      <c r="G41" s="243"/>
      <c r="H41" s="241"/>
      <c r="I41" s="241"/>
      <c r="J41" s="243" t="s">
        <v>1545</v>
      </c>
      <c r="K41" s="243"/>
      <c r="L41" s="243"/>
      <c r="M41" s="243"/>
      <c r="N41" s="243"/>
      <c r="O41" s="243"/>
      <c r="P41" s="241"/>
      <c r="Q41" s="1573">
        <v>7.0000000000000007E-2</v>
      </c>
      <c r="R41" s="1573"/>
      <c r="S41" s="434"/>
      <c r="T41" s="434"/>
      <c r="U41" s="434"/>
    </row>
    <row r="42" spans="1:21" s="418" customFormat="1" ht="11.4" customHeight="1">
      <c r="A42" s="243"/>
      <c r="B42" s="246" t="s">
        <v>1546</v>
      </c>
      <c r="C42" s="243"/>
      <c r="D42" s="241"/>
      <c r="E42" s="241"/>
      <c r="F42" s="243" t="s">
        <v>1544</v>
      </c>
      <c r="G42" s="243"/>
      <c r="H42" s="241"/>
      <c r="I42" s="241"/>
      <c r="J42" s="243" t="s">
        <v>1545</v>
      </c>
      <c r="K42" s="243"/>
      <c r="L42" s="243"/>
      <c r="M42" s="243"/>
      <c r="N42" s="243"/>
      <c r="O42" s="243"/>
      <c r="P42" s="241"/>
      <c r="Q42" s="1573">
        <v>7.0000000000000007E-2</v>
      </c>
      <c r="R42" s="1573"/>
      <c r="S42" s="434"/>
      <c r="T42" s="434"/>
      <c r="U42" s="434"/>
    </row>
    <row r="43" spans="1:21" s="418" customFormat="1" ht="11.4" customHeight="1">
      <c r="A43" s="243"/>
      <c r="B43" s="246" t="s">
        <v>695</v>
      </c>
      <c r="C43" s="243"/>
      <c r="D43" s="241"/>
      <c r="E43" s="241"/>
      <c r="F43" s="243"/>
      <c r="G43" s="243"/>
      <c r="H43" s="241"/>
      <c r="I43" s="241"/>
      <c r="J43" s="243"/>
      <c r="K43" s="243"/>
      <c r="L43" s="243"/>
      <c r="M43" s="243"/>
      <c r="N43" s="243"/>
      <c r="O43" s="243"/>
      <c r="P43" s="241"/>
      <c r="Q43" s="1571">
        <v>2700</v>
      </c>
      <c r="R43" s="1572"/>
      <c r="S43" s="434"/>
      <c r="T43" s="434"/>
      <c r="U43" s="434"/>
    </row>
    <row r="44" spans="1:21" s="418" customFormat="1" ht="11.4"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 customHeight="1">
      <c r="A46" s="243"/>
      <c r="B46" s="243" t="s">
        <v>2917</v>
      </c>
      <c r="C46" s="243"/>
      <c r="D46" s="241"/>
      <c r="E46" s="241"/>
      <c r="F46" s="243"/>
      <c r="G46" s="243"/>
      <c r="H46" s="243"/>
      <c r="I46" s="241"/>
      <c r="J46" s="243" t="s">
        <v>2757</v>
      </c>
      <c r="K46" s="243"/>
      <c r="L46" s="243"/>
      <c r="M46" s="243"/>
      <c r="N46" s="243"/>
      <c r="O46" s="243"/>
      <c r="P46" s="241"/>
      <c r="Q46" s="1571">
        <v>1800000</v>
      </c>
      <c r="R46" s="1572"/>
      <c r="S46" s="434"/>
      <c r="T46" s="434"/>
      <c r="U46" s="434"/>
    </row>
    <row r="47" spans="1:21" s="418" customFormat="1" ht="11.4" customHeight="1">
      <c r="A47" s="243"/>
      <c r="B47" s="243"/>
      <c r="C47" s="243"/>
      <c r="D47" s="241"/>
      <c r="E47" s="241"/>
      <c r="F47" s="243" t="s">
        <v>2738</v>
      </c>
      <c r="G47" s="243"/>
      <c r="H47" s="243" t="s">
        <v>3436</v>
      </c>
      <c r="I47" s="241"/>
      <c r="J47" s="243" t="s">
        <v>1586</v>
      </c>
      <c r="K47" s="243"/>
      <c r="L47" s="243"/>
      <c r="M47" s="243"/>
      <c r="N47" s="243"/>
      <c r="O47" s="243"/>
      <c r="P47" s="241"/>
      <c r="Q47" s="1573">
        <v>0.15</v>
      </c>
      <c r="R47" s="1573"/>
      <c r="S47" s="434"/>
      <c r="T47" s="434"/>
      <c r="U47" s="434"/>
    </row>
    <row r="48" spans="1:21" s="418" customFormat="1" ht="11.4" customHeight="1">
      <c r="A48" s="243"/>
      <c r="B48" s="583"/>
      <c r="C48" s="243"/>
      <c r="D48" s="241"/>
      <c r="E48" s="241"/>
      <c r="F48" s="243"/>
      <c r="G48" s="243"/>
      <c r="H48" s="243" t="s">
        <v>1582</v>
      </c>
      <c r="I48" s="243" t="s">
        <v>1583</v>
      </c>
      <c r="J48" s="243" t="s">
        <v>1585</v>
      </c>
      <c r="K48" s="243"/>
      <c r="L48" s="243"/>
      <c r="M48" s="243"/>
      <c r="N48" s="243"/>
      <c r="O48" s="243"/>
      <c r="P48" s="241"/>
      <c r="Q48" s="1573">
        <v>0.15</v>
      </c>
      <c r="R48" s="1573"/>
      <c r="S48" s="434"/>
      <c r="T48" s="434"/>
      <c r="U48" s="434"/>
    </row>
    <row r="49" spans="1:21" s="418" customFormat="1" ht="11.4" customHeight="1">
      <c r="A49" s="243"/>
      <c r="B49" s="583"/>
      <c r="C49" s="243"/>
      <c r="D49" s="241"/>
      <c r="E49" s="241"/>
      <c r="F49" s="243"/>
      <c r="G49" s="243"/>
      <c r="H49" s="243"/>
      <c r="I49" s="243" t="s">
        <v>1584</v>
      </c>
      <c r="J49" s="243" t="s">
        <v>1587</v>
      </c>
      <c r="K49" s="243"/>
      <c r="L49" s="243"/>
      <c r="M49" s="243"/>
      <c r="N49" s="243"/>
      <c r="O49" s="243"/>
      <c r="P49" s="241"/>
      <c r="Q49" s="1573">
        <v>0.15</v>
      </c>
      <c r="R49" s="1573"/>
      <c r="S49" s="434"/>
      <c r="T49" s="434"/>
      <c r="U49" s="434"/>
    </row>
    <row r="50" spans="1:21" s="418" customFormat="1" ht="11.4" customHeight="1">
      <c r="A50" s="243"/>
      <c r="B50" s="583"/>
      <c r="C50" s="243"/>
      <c r="D50" s="241"/>
      <c r="E50" s="241"/>
      <c r="F50" s="243"/>
      <c r="G50" s="243"/>
      <c r="H50" s="243" t="s">
        <v>1581</v>
      </c>
      <c r="I50" s="241"/>
      <c r="J50" s="243" t="s">
        <v>1587</v>
      </c>
      <c r="K50" s="243"/>
      <c r="L50" s="243"/>
      <c r="M50" s="243"/>
      <c r="N50" s="243"/>
      <c r="O50" s="243"/>
      <c r="P50" s="241"/>
      <c r="Q50" s="1573">
        <v>0.15</v>
      </c>
      <c r="R50" s="1573"/>
      <c r="S50" s="434"/>
      <c r="T50" s="434"/>
      <c r="U50" s="434"/>
    </row>
    <row r="51" spans="1:21" s="418" customFormat="1" ht="11.4" customHeight="1">
      <c r="A51" s="243"/>
      <c r="B51" s="583"/>
      <c r="C51" s="243"/>
      <c r="D51" s="241"/>
      <c r="E51" s="241"/>
      <c r="F51" s="243"/>
      <c r="G51" s="243"/>
      <c r="H51" s="243"/>
      <c r="I51" s="243" t="s">
        <v>1588</v>
      </c>
      <c r="J51" s="243" t="s">
        <v>1589</v>
      </c>
      <c r="K51" s="243"/>
      <c r="L51" s="243"/>
      <c r="M51" s="243"/>
      <c r="N51" s="243"/>
      <c r="O51" s="243"/>
      <c r="P51" s="241"/>
      <c r="Q51" s="1573">
        <v>0.15</v>
      </c>
      <c r="R51" s="1573"/>
      <c r="S51" s="434"/>
      <c r="T51" s="434"/>
      <c r="U51" s="434"/>
    </row>
    <row r="52" spans="1:21" s="418" customFormat="1" ht="11.4" customHeight="1">
      <c r="A52" s="243"/>
      <c r="B52" s="583"/>
      <c r="C52" s="243"/>
      <c r="D52" s="241"/>
      <c r="E52" s="241"/>
      <c r="F52" s="243" t="s">
        <v>2787</v>
      </c>
      <c r="G52" s="243"/>
      <c r="H52" s="243"/>
      <c r="I52" s="241"/>
      <c r="J52" s="243" t="s">
        <v>3585</v>
      </c>
      <c r="K52" s="243"/>
      <c r="L52" s="243"/>
      <c r="M52" s="243"/>
      <c r="N52" s="243"/>
      <c r="O52" s="243"/>
      <c r="P52" s="241"/>
      <c r="Q52" s="1573">
        <v>0.15</v>
      </c>
      <c r="R52" s="1573"/>
      <c r="S52" s="434"/>
      <c r="T52" s="434"/>
      <c r="U52" s="434"/>
    </row>
    <row r="53" spans="1:21" s="418" customFormat="1" ht="11.4" customHeight="1">
      <c r="A53" s="243"/>
      <c r="B53" s="583"/>
      <c r="C53" s="243"/>
      <c r="D53" s="241"/>
      <c r="E53" s="241"/>
      <c r="G53" s="243"/>
      <c r="H53" s="243"/>
      <c r="I53" s="241"/>
      <c r="J53" s="243" t="s">
        <v>3586</v>
      </c>
      <c r="K53" s="243"/>
      <c r="L53" s="243"/>
      <c r="M53" s="243"/>
      <c r="N53" s="243"/>
      <c r="O53" s="243"/>
      <c r="P53" s="241"/>
      <c r="Q53" s="1573" t="s">
        <v>3587</v>
      </c>
      <c r="R53" s="1573"/>
      <c r="S53" s="434"/>
      <c r="T53" s="434"/>
      <c r="U53" s="434"/>
    </row>
    <row r="54" spans="1:21" s="418" customFormat="1" ht="11.4"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 customHeight="1">
      <c r="A58" s="243"/>
      <c r="B58" s="587" t="s">
        <v>3116</v>
      </c>
      <c r="C58" s="243"/>
      <c r="D58" s="241"/>
      <c r="E58" s="241"/>
      <c r="F58" s="243"/>
      <c r="G58" s="243"/>
      <c r="I58" s="241"/>
      <c r="J58" s="243" t="s">
        <v>3117</v>
      </c>
      <c r="K58" s="243"/>
      <c r="L58" s="243"/>
      <c r="M58" s="243"/>
      <c r="N58" s="243"/>
      <c r="O58" s="243"/>
      <c r="P58" s="241"/>
      <c r="Q58" s="436">
        <v>3</v>
      </c>
      <c r="R58" s="433" t="s">
        <v>2760</v>
      </c>
      <c r="S58" s="434"/>
      <c r="T58" s="434"/>
      <c r="U58" s="434"/>
    </row>
    <row r="59" spans="1:21" s="418" customFormat="1" ht="11.4" customHeight="1">
      <c r="A59" s="243"/>
      <c r="B59" s="246" t="s">
        <v>2791</v>
      </c>
      <c r="C59" s="243"/>
      <c r="D59" s="241"/>
      <c r="E59" s="243"/>
      <c r="F59" s="243"/>
      <c r="G59" s="243"/>
      <c r="H59" s="241"/>
      <c r="I59" s="241"/>
      <c r="J59" s="243" t="s">
        <v>2792</v>
      </c>
      <c r="K59" s="243"/>
      <c r="L59" s="243"/>
      <c r="M59" s="243"/>
      <c r="N59" s="243"/>
      <c r="O59" s="243"/>
      <c r="P59" s="241"/>
      <c r="Q59" s="1571">
        <v>3000</v>
      </c>
      <c r="R59" s="1572"/>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3655</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 customHeight="1">
      <c r="A64" s="243"/>
      <c r="B64" s="243" t="s">
        <v>2794</v>
      </c>
      <c r="C64" s="243"/>
      <c r="D64" s="243"/>
      <c r="E64" s="243"/>
      <c r="F64" s="243"/>
      <c r="G64" s="243"/>
      <c r="H64" s="243"/>
      <c r="J64" s="243" t="s">
        <v>2795</v>
      </c>
      <c r="K64" s="243"/>
      <c r="L64" s="243"/>
      <c r="M64" s="243"/>
      <c r="N64" s="243"/>
      <c r="O64" s="243"/>
      <c r="Q64" s="1573">
        <v>0.02</v>
      </c>
      <c r="R64" s="1573"/>
    </row>
    <row r="65" spans="1:21" s="434" customFormat="1" ht="11.4" customHeight="1">
      <c r="A65" s="243"/>
      <c r="B65" s="243" t="s">
        <v>2796</v>
      </c>
      <c r="C65" s="243"/>
      <c r="D65" s="243"/>
      <c r="E65" s="243"/>
      <c r="F65" s="243"/>
      <c r="G65" s="243"/>
      <c r="H65" s="243"/>
      <c r="J65" s="243" t="s">
        <v>2795</v>
      </c>
      <c r="K65" s="243"/>
      <c r="L65" s="243"/>
      <c r="M65" s="243"/>
      <c r="N65" s="243"/>
      <c r="O65" s="243"/>
      <c r="Q65" s="1573">
        <v>7.0000000000000007E-2</v>
      </c>
      <c r="R65" s="1573"/>
    </row>
    <row r="66" spans="1:21" s="434" customFormat="1" ht="11.4" customHeight="1">
      <c r="A66" s="243"/>
      <c r="B66" s="243" t="s">
        <v>2797</v>
      </c>
      <c r="C66" s="243"/>
      <c r="D66" s="243"/>
      <c r="E66" s="243"/>
      <c r="F66" s="243"/>
      <c r="G66" s="243"/>
      <c r="H66" s="243"/>
      <c r="J66" s="243" t="s">
        <v>2795</v>
      </c>
      <c r="K66" s="243"/>
      <c r="L66" s="243"/>
      <c r="M66" s="243"/>
      <c r="N66" s="243"/>
      <c r="O66" s="243"/>
      <c r="Q66" s="1573">
        <v>7.0000000000000007E-2</v>
      </c>
      <c r="R66" s="1573"/>
    </row>
    <row r="67" spans="1:21" s="418" customFormat="1" ht="11.4" customHeight="1">
      <c r="A67" s="243"/>
      <c r="B67" s="243" t="s">
        <v>157</v>
      </c>
      <c r="C67" s="243"/>
      <c r="D67" s="241"/>
      <c r="E67" s="241"/>
      <c r="F67" s="241"/>
      <c r="G67" s="243"/>
      <c r="H67" s="241"/>
      <c r="I67" s="241"/>
      <c r="J67" s="243" t="s">
        <v>2795</v>
      </c>
      <c r="K67" s="243"/>
      <c r="L67" s="243"/>
      <c r="M67" s="243"/>
      <c r="N67" s="243"/>
      <c r="O67" s="243"/>
      <c r="P67" s="241"/>
      <c r="Q67" s="1573">
        <v>0.03</v>
      </c>
      <c r="R67" s="1573"/>
      <c r="S67" s="434"/>
      <c r="T67" s="434"/>
      <c r="U67" s="434"/>
    </row>
    <row r="68" spans="1:21" s="418" customFormat="1" ht="11.4" customHeight="1">
      <c r="A68" s="243"/>
      <c r="B68" s="243" t="s">
        <v>158</v>
      </c>
      <c r="C68" s="243"/>
      <c r="D68" s="241"/>
      <c r="E68" s="241"/>
      <c r="F68" s="241"/>
      <c r="G68" s="243"/>
      <c r="H68" s="241"/>
      <c r="I68" s="241"/>
      <c r="J68" s="243" t="s">
        <v>2795</v>
      </c>
      <c r="K68" s="243"/>
      <c r="L68" s="243"/>
      <c r="M68" s="243"/>
      <c r="N68" s="243"/>
      <c r="O68" s="243"/>
      <c r="P68" s="241"/>
      <c r="Q68" s="1573">
        <v>0.03</v>
      </c>
      <c r="R68" s="1573"/>
      <c r="S68" s="434"/>
      <c r="T68" s="434"/>
      <c r="U68" s="434"/>
    </row>
    <row r="69" spans="1:21" s="418" customFormat="1" ht="11.4" customHeight="1">
      <c r="A69" s="243"/>
      <c r="B69" s="243" t="s">
        <v>159</v>
      </c>
      <c r="C69" s="243"/>
      <c r="D69" s="241"/>
      <c r="E69" s="241"/>
      <c r="F69" s="241"/>
      <c r="G69" s="243"/>
      <c r="H69" s="241"/>
      <c r="I69" s="241"/>
      <c r="J69" s="243" t="s">
        <v>2795</v>
      </c>
      <c r="K69" s="243"/>
      <c r="L69" s="243"/>
      <c r="M69" s="243"/>
      <c r="N69" s="243"/>
      <c r="O69" s="243"/>
      <c r="P69" s="241"/>
      <c r="Q69" s="1573">
        <v>0</v>
      </c>
      <c r="R69" s="1573"/>
      <c r="S69" s="434"/>
      <c r="T69" s="434"/>
      <c r="U69" s="434"/>
    </row>
    <row r="70" spans="1:21" ht="3" customHeight="1"/>
    <row r="71" spans="1:21" ht="10.95" customHeight="1"/>
    <row r="73" spans="1:21" ht="13.2" customHeight="1">
      <c r="C73" s="440"/>
      <c r="D73" s="440"/>
      <c r="E73" s="440"/>
      <c r="F73" s="440"/>
      <c r="G73" s="440"/>
      <c r="H73" s="440"/>
      <c r="I73" s="440"/>
    </row>
    <row r="75" spans="1:21" ht="13.8">
      <c r="D75" s="644">
        <v>2011</v>
      </c>
      <c r="J75" s="774" t="s">
        <v>1386</v>
      </c>
      <c r="K75" s="774"/>
      <c r="L75" s="398"/>
    </row>
    <row r="76" spans="1:21" ht="13.8">
      <c r="C76" s="576" t="s">
        <v>1963</v>
      </c>
      <c r="D76" s="579" t="s">
        <v>1658</v>
      </c>
      <c r="J76" s="775" t="s">
        <v>1389</v>
      </c>
      <c r="K76" s="775" t="s">
        <v>1387</v>
      </c>
      <c r="L76" s="580" t="s">
        <v>1388</v>
      </c>
    </row>
    <row r="77" spans="1:21" ht="9" customHeight="1">
      <c r="C77" s="577" t="s">
        <v>2811</v>
      </c>
      <c r="D77" s="776">
        <v>48700</v>
      </c>
      <c r="J77" s="427">
        <v>0</v>
      </c>
      <c r="K77" s="427">
        <v>0.7</v>
      </c>
      <c r="L77" s="427">
        <v>1</v>
      </c>
    </row>
    <row r="78" spans="1:21" ht="9" customHeight="1">
      <c r="C78" s="577" t="s">
        <v>1659</v>
      </c>
      <c r="D78" s="776">
        <v>58600</v>
      </c>
      <c r="J78" s="427">
        <v>1</v>
      </c>
      <c r="K78" s="427">
        <v>0.75</v>
      </c>
      <c r="L78" s="427">
        <v>1.5</v>
      </c>
    </row>
    <row r="79" spans="1:21" ht="9" customHeight="1">
      <c r="C79" s="577" t="s">
        <v>1339</v>
      </c>
      <c r="D79" s="776">
        <v>68300</v>
      </c>
      <c r="J79" s="427">
        <v>2</v>
      </c>
      <c r="K79" s="427">
        <v>0.9</v>
      </c>
      <c r="L79" s="427">
        <v>3</v>
      </c>
    </row>
    <row r="80" spans="1:21" ht="9" customHeight="1">
      <c r="C80" s="577" t="s">
        <v>1340</v>
      </c>
      <c r="D80" s="776">
        <v>57100</v>
      </c>
      <c r="J80" s="427">
        <v>3</v>
      </c>
      <c r="K80" s="427">
        <v>1.04</v>
      </c>
      <c r="L80" s="427">
        <v>4.5</v>
      </c>
    </row>
    <row r="81" spans="3:12" ht="9" customHeight="1">
      <c r="C81" s="577" t="s">
        <v>13</v>
      </c>
      <c r="D81" s="776">
        <v>59400</v>
      </c>
      <c r="J81" s="427">
        <v>4</v>
      </c>
      <c r="K81" s="427">
        <v>1.1599999999999999</v>
      </c>
      <c r="L81" s="427">
        <v>6</v>
      </c>
    </row>
    <row r="82" spans="3:12" ht="9" customHeight="1">
      <c r="C82" s="577" t="s">
        <v>1660</v>
      </c>
      <c r="D82" s="776">
        <v>63400</v>
      </c>
      <c r="J82" s="427">
        <v>5</v>
      </c>
      <c r="K82" s="427">
        <v>1.28</v>
      </c>
      <c r="L82" s="427">
        <v>7.5</v>
      </c>
    </row>
    <row r="83" spans="3:12" ht="9" customHeight="1">
      <c r="C83" s="577" t="s">
        <v>2271</v>
      </c>
      <c r="D83" s="776">
        <v>57000</v>
      </c>
    </row>
    <row r="84" spans="3:12" ht="9" customHeight="1">
      <c r="C84" s="577" t="s">
        <v>217</v>
      </c>
      <c r="D84" s="776">
        <v>51600</v>
      </c>
    </row>
    <row r="85" spans="3:12" ht="9" customHeight="1">
      <c r="C85" s="577" t="s">
        <v>431</v>
      </c>
      <c r="D85" s="776">
        <v>50200</v>
      </c>
    </row>
    <row r="86" spans="3:12" ht="9" customHeight="1">
      <c r="C86" s="578" t="s">
        <v>1882</v>
      </c>
      <c r="D86" s="776">
        <v>61200</v>
      </c>
    </row>
    <row r="87" spans="3:12" ht="9" customHeight="1">
      <c r="C87" s="578" t="s">
        <v>1341</v>
      </c>
      <c r="D87" s="776">
        <v>46800</v>
      </c>
    </row>
    <row r="88" spans="3:12" ht="9" customHeight="1">
      <c r="C88" s="578" t="s">
        <v>1661</v>
      </c>
      <c r="D88" s="776">
        <v>47100</v>
      </c>
    </row>
    <row r="89" spans="3:12" ht="9" customHeight="1">
      <c r="C89" s="577" t="s">
        <v>1342</v>
      </c>
      <c r="D89" s="776">
        <v>42700</v>
      </c>
    </row>
    <row r="90" spans="3:12" ht="9" customHeight="1">
      <c r="C90" s="578" t="s">
        <v>2185</v>
      </c>
      <c r="D90" s="776">
        <v>48500</v>
      </c>
    </row>
    <row r="91" spans="3:12" ht="9" customHeight="1">
      <c r="C91" s="577" t="s">
        <v>2021</v>
      </c>
      <c r="D91" s="776">
        <v>54000</v>
      </c>
    </row>
    <row r="92" spans="3:12" ht="9" customHeight="1">
      <c r="C92" s="578" t="s">
        <v>1344</v>
      </c>
      <c r="D92" s="776">
        <v>48900</v>
      </c>
    </row>
    <row r="93" spans="3:12" ht="9" customHeight="1">
      <c r="C93" s="578" t="s">
        <v>3134</v>
      </c>
      <c r="D93" s="776">
        <v>63700</v>
      </c>
    </row>
    <row r="94" spans="3:12" ht="9" customHeight="1">
      <c r="C94" s="578" t="s">
        <v>3900</v>
      </c>
      <c r="D94" s="776">
        <v>47100</v>
      </c>
    </row>
    <row r="95" spans="3:12" ht="9" customHeight="1">
      <c r="C95" s="577" t="s">
        <v>3400</v>
      </c>
      <c r="D95" s="776">
        <v>52100</v>
      </c>
    </row>
    <row r="96" spans="3:12" ht="9" customHeight="1">
      <c r="C96" s="577" t="s">
        <v>2027</v>
      </c>
      <c r="D96" s="776">
        <v>60000</v>
      </c>
    </row>
    <row r="97" spans="3:4" ht="9" customHeight="1">
      <c r="C97" s="577" t="s">
        <v>2713</v>
      </c>
      <c r="D97" s="776">
        <v>50300</v>
      </c>
    </row>
    <row r="98" spans="3:4" ht="9" customHeight="1">
      <c r="C98" s="577" t="s">
        <v>2726</v>
      </c>
      <c r="D98" s="776">
        <v>70400</v>
      </c>
    </row>
    <row r="99" spans="3:4" ht="9" customHeight="1">
      <c r="C99" s="578" t="s">
        <v>1873</v>
      </c>
      <c r="D99" s="776">
        <v>44500</v>
      </c>
    </row>
    <row r="100" spans="3:4" ht="9" customHeight="1">
      <c r="C100" s="578" t="s">
        <v>2807</v>
      </c>
      <c r="D100" s="776">
        <v>36500</v>
      </c>
    </row>
    <row r="101" spans="3:4" ht="9" customHeight="1">
      <c r="C101" s="578" t="s">
        <v>2809</v>
      </c>
      <c r="D101" s="776">
        <v>45100</v>
      </c>
    </row>
    <row r="102" spans="3:4" ht="9" customHeight="1">
      <c r="C102" s="577" t="s">
        <v>212</v>
      </c>
      <c r="D102" s="776">
        <v>49700</v>
      </c>
    </row>
    <row r="103" spans="3:4" ht="9" customHeight="1">
      <c r="C103" s="578" t="s">
        <v>2013</v>
      </c>
      <c r="D103" s="776">
        <v>48400</v>
      </c>
    </row>
    <row r="104" spans="3:4" ht="9" customHeight="1">
      <c r="C104" s="578" t="s">
        <v>1662</v>
      </c>
      <c r="D104" s="776">
        <v>36500</v>
      </c>
    </row>
    <row r="105" spans="3:4" ht="9" customHeight="1">
      <c r="C105" s="578" t="s">
        <v>2019</v>
      </c>
      <c r="D105" s="776">
        <v>43700</v>
      </c>
    </row>
    <row r="106" spans="3:4" ht="9" customHeight="1">
      <c r="C106" s="577" t="s">
        <v>2023</v>
      </c>
      <c r="D106" s="776">
        <v>52300</v>
      </c>
    </row>
    <row r="107" spans="3:4" ht="9" customHeight="1">
      <c r="C107" s="577" t="s">
        <v>2029</v>
      </c>
      <c r="D107" s="776">
        <v>56000</v>
      </c>
    </row>
    <row r="108" spans="3:4" ht="9" customHeight="1">
      <c r="C108" s="578" t="s">
        <v>2034</v>
      </c>
      <c r="D108" s="776">
        <v>43200</v>
      </c>
    </row>
    <row r="109" spans="3:4" ht="9" customHeight="1">
      <c r="C109" s="577" t="s">
        <v>1219</v>
      </c>
      <c r="D109" s="776">
        <v>60800</v>
      </c>
    </row>
    <row r="110" spans="3:4" ht="9" customHeight="1">
      <c r="C110" s="578" t="s">
        <v>1221</v>
      </c>
      <c r="D110" s="776">
        <v>40700</v>
      </c>
    </row>
    <row r="111" spans="3:4" ht="9" customHeight="1">
      <c r="C111" s="578" t="s">
        <v>214</v>
      </c>
      <c r="D111" s="776">
        <v>48200</v>
      </c>
    </row>
    <row r="112" spans="3:4" ht="9" customHeight="1">
      <c r="C112" s="578" t="s">
        <v>219</v>
      </c>
      <c r="D112" s="776">
        <v>40500</v>
      </c>
    </row>
    <row r="113" spans="3:4" ht="9" customHeight="1">
      <c r="C113" s="578" t="s">
        <v>3758</v>
      </c>
      <c r="D113" s="776">
        <v>44200</v>
      </c>
    </row>
    <row r="114" spans="3:4" ht="9" customHeight="1">
      <c r="C114" s="578" t="s">
        <v>3761</v>
      </c>
      <c r="D114" s="776">
        <v>41600</v>
      </c>
    </row>
    <row r="115" spans="3:4" ht="9" customHeight="1">
      <c r="C115" s="578" t="s">
        <v>3764</v>
      </c>
      <c r="D115" s="776">
        <v>42300</v>
      </c>
    </row>
    <row r="116" spans="3:4" ht="9" customHeight="1">
      <c r="C116" s="578" t="s">
        <v>3816</v>
      </c>
      <c r="D116" s="776">
        <v>40400</v>
      </c>
    </row>
    <row r="117" spans="3:4" ht="9" customHeight="1">
      <c r="C117" s="578" t="s">
        <v>3819</v>
      </c>
      <c r="D117" s="776">
        <v>41100</v>
      </c>
    </row>
    <row r="118" spans="3:4" ht="9" customHeight="1">
      <c r="C118" s="578" t="s">
        <v>251</v>
      </c>
      <c r="D118" s="776">
        <v>40400</v>
      </c>
    </row>
    <row r="119" spans="3:4" ht="9" customHeight="1">
      <c r="C119" s="578" t="s">
        <v>255</v>
      </c>
      <c r="D119" s="776">
        <v>46800</v>
      </c>
    </row>
    <row r="120" spans="3:4" ht="9" customHeight="1">
      <c r="C120" s="578" t="s">
        <v>1548</v>
      </c>
      <c r="D120" s="776">
        <v>46200</v>
      </c>
    </row>
    <row r="121" spans="3:4" ht="9" customHeight="1">
      <c r="C121" s="578" t="s">
        <v>1550</v>
      </c>
      <c r="D121" s="776">
        <v>39800</v>
      </c>
    </row>
    <row r="122" spans="3:4" ht="9" customHeight="1">
      <c r="C122" s="578" t="s">
        <v>1466</v>
      </c>
      <c r="D122" s="776">
        <v>41300</v>
      </c>
    </row>
    <row r="123" spans="3:4" ht="9" customHeight="1">
      <c r="C123" s="578" t="s">
        <v>1470</v>
      </c>
      <c r="D123" s="776">
        <v>39500</v>
      </c>
    </row>
    <row r="124" spans="3:4" ht="9" customHeight="1">
      <c r="C124" s="578" t="s">
        <v>3372</v>
      </c>
      <c r="D124" s="776">
        <v>38800</v>
      </c>
    </row>
    <row r="125" spans="3:4" ht="9" customHeight="1">
      <c r="C125" s="578" t="s">
        <v>998</v>
      </c>
      <c r="D125" s="776">
        <v>44200</v>
      </c>
    </row>
    <row r="126" spans="3:4" ht="9" customHeight="1">
      <c r="C126" s="578" t="s">
        <v>1000</v>
      </c>
      <c r="D126" s="776">
        <v>45700</v>
      </c>
    </row>
    <row r="127" spans="3:4" ht="9" customHeight="1">
      <c r="C127" s="577" t="s">
        <v>1005</v>
      </c>
      <c r="D127" s="776">
        <v>45600</v>
      </c>
    </row>
    <row r="128" spans="3:4" ht="9" customHeight="1">
      <c r="C128" s="578" t="s">
        <v>1007</v>
      </c>
      <c r="D128" s="776">
        <v>43900</v>
      </c>
    </row>
    <row r="129" spans="3:4" ht="9" customHeight="1">
      <c r="C129" s="577" t="s">
        <v>1009</v>
      </c>
      <c r="D129" s="776">
        <v>42800</v>
      </c>
    </row>
    <row r="130" spans="3:4" ht="9" customHeight="1">
      <c r="C130" s="578" t="s">
        <v>1012</v>
      </c>
      <c r="D130" s="776">
        <v>51700</v>
      </c>
    </row>
    <row r="131" spans="3:4" ht="9" customHeight="1">
      <c r="C131" s="578" t="s">
        <v>1014</v>
      </c>
      <c r="D131" s="776">
        <v>45000</v>
      </c>
    </row>
    <row r="132" spans="3:4" ht="9" customHeight="1">
      <c r="C132" s="578" t="s">
        <v>1016</v>
      </c>
      <c r="D132" s="776">
        <v>47400</v>
      </c>
    </row>
    <row r="133" spans="3:4" ht="9" customHeight="1">
      <c r="C133" s="578" t="s">
        <v>138</v>
      </c>
      <c r="D133" s="776">
        <v>50200</v>
      </c>
    </row>
    <row r="134" spans="3:4" ht="9" customHeight="1">
      <c r="C134" s="578" t="s">
        <v>408</v>
      </c>
      <c r="D134" s="776">
        <v>33300</v>
      </c>
    </row>
    <row r="135" spans="3:4" ht="9" customHeight="1">
      <c r="C135" s="578" t="s">
        <v>412</v>
      </c>
      <c r="D135" s="776">
        <v>49900</v>
      </c>
    </row>
    <row r="136" spans="3:4" ht="9" customHeight="1">
      <c r="C136" s="578" t="s">
        <v>417</v>
      </c>
      <c r="D136" s="776">
        <v>55800</v>
      </c>
    </row>
    <row r="137" spans="3:4" ht="9" customHeight="1">
      <c r="C137" s="578" t="s">
        <v>419</v>
      </c>
      <c r="D137" s="776">
        <v>58600</v>
      </c>
    </row>
    <row r="138" spans="3:4" ht="9" customHeight="1">
      <c r="C138" s="578" t="s">
        <v>422</v>
      </c>
      <c r="D138" s="776">
        <v>38400</v>
      </c>
    </row>
    <row r="139" spans="3:4" ht="9" customHeight="1">
      <c r="C139" s="578" t="s">
        <v>424</v>
      </c>
      <c r="D139" s="776">
        <v>38500</v>
      </c>
    </row>
    <row r="140" spans="3:4" ht="9" customHeight="1">
      <c r="C140" s="578" t="s">
        <v>426</v>
      </c>
      <c r="D140" s="776">
        <v>36500</v>
      </c>
    </row>
    <row r="141" spans="3:4" ht="9" customHeight="1">
      <c r="C141" s="578" t="s">
        <v>428</v>
      </c>
      <c r="D141" s="776">
        <v>32800</v>
      </c>
    </row>
    <row r="142" spans="3:4" ht="9" customHeight="1">
      <c r="C142" s="578" t="s">
        <v>2179</v>
      </c>
      <c r="D142" s="776">
        <v>50600</v>
      </c>
    </row>
    <row r="143" spans="3:4" ht="9" customHeight="1">
      <c r="C143" s="578" t="s">
        <v>2183</v>
      </c>
      <c r="D143" s="776">
        <v>43200</v>
      </c>
    </row>
    <row r="144" spans="3:4" ht="9" customHeight="1">
      <c r="C144" s="577" t="s">
        <v>234</v>
      </c>
      <c r="D144" s="776">
        <v>52400</v>
      </c>
    </row>
    <row r="145" spans="3:4" ht="9" customHeight="1">
      <c r="C145" s="578" t="s">
        <v>235</v>
      </c>
      <c r="D145" s="776">
        <v>38600</v>
      </c>
    </row>
    <row r="146" spans="3:4" ht="9" customHeight="1">
      <c r="C146" s="578" t="s">
        <v>2539</v>
      </c>
      <c r="D146" s="776">
        <v>44700</v>
      </c>
    </row>
    <row r="147" spans="3:4" ht="9" customHeight="1">
      <c r="C147" s="578" t="s">
        <v>2541</v>
      </c>
      <c r="D147" s="776">
        <v>47700</v>
      </c>
    </row>
    <row r="148" spans="3:4" ht="9" customHeight="1">
      <c r="C148" s="578" t="s">
        <v>242</v>
      </c>
      <c r="D148" s="776">
        <v>47400</v>
      </c>
    </row>
    <row r="149" spans="3:4" ht="9" customHeight="1">
      <c r="C149" s="577" t="s">
        <v>3898</v>
      </c>
      <c r="D149" s="776">
        <v>56700</v>
      </c>
    </row>
    <row r="150" spans="3:4" ht="9" customHeight="1">
      <c r="C150" s="578" t="s">
        <v>1723</v>
      </c>
      <c r="D150" s="776">
        <v>58800</v>
      </c>
    </row>
    <row r="151" spans="3:4" ht="9" customHeight="1">
      <c r="C151" s="578" t="s">
        <v>1726</v>
      </c>
      <c r="D151" s="776">
        <v>48700</v>
      </c>
    </row>
    <row r="152" spans="3:4" ht="9" customHeight="1">
      <c r="C152" s="578" t="s">
        <v>1729</v>
      </c>
      <c r="D152" s="776">
        <v>48000</v>
      </c>
    </row>
    <row r="153" spans="3:4" ht="9" customHeight="1">
      <c r="C153" s="577" t="s">
        <v>1731</v>
      </c>
      <c r="D153" s="776">
        <v>46600</v>
      </c>
    </row>
    <row r="154" spans="3:4" ht="9" customHeight="1">
      <c r="C154" s="577" t="s">
        <v>1733</v>
      </c>
      <c r="D154" s="776">
        <v>52000</v>
      </c>
    </row>
    <row r="155" spans="3:4" ht="9" customHeight="1">
      <c r="C155" s="578" t="s">
        <v>1735</v>
      </c>
      <c r="D155" s="776">
        <v>40400</v>
      </c>
    </row>
    <row r="156" spans="3:4" ht="9" customHeight="1">
      <c r="C156" s="578" t="s">
        <v>1737</v>
      </c>
      <c r="D156" s="776">
        <v>52600</v>
      </c>
    </row>
    <row r="157" spans="3:4" ht="9" customHeight="1">
      <c r="C157" s="578" t="s">
        <v>1739</v>
      </c>
      <c r="D157" s="776">
        <v>33500</v>
      </c>
    </row>
    <row r="158" spans="3:4" ht="9" customHeight="1">
      <c r="C158" s="578" t="s">
        <v>3275</v>
      </c>
      <c r="D158" s="776">
        <v>48100</v>
      </c>
    </row>
    <row r="159" spans="3:4" ht="9" customHeight="1">
      <c r="C159" s="578" t="s">
        <v>3277</v>
      </c>
      <c r="D159" s="776">
        <v>49000</v>
      </c>
    </row>
    <row r="160" spans="3:4" ht="9" customHeight="1">
      <c r="C160" s="577" t="s">
        <v>3279</v>
      </c>
      <c r="D160" s="776">
        <v>45200</v>
      </c>
    </row>
    <row r="161" spans="3:4" ht="9" customHeight="1">
      <c r="C161" s="577" t="s">
        <v>3282</v>
      </c>
      <c r="D161" s="776">
        <v>44700</v>
      </c>
    </row>
    <row r="162" spans="3:4" ht="9" customHeight="1">
      <c r="C162" s="578" t="s">
        <v>3284</v>
      </c>
      <c r="D162" s="776">
        <v>38200</v>
      </c>
    </row>
    <row r="163" spans="3:4" ht="9" customHeight="1">
      <c r="C163" s="578" t="s">
        <v>3286</v>
      </c>
      <c r="D163" s="776">
        <v>40800</v>
      </c>
    </row>
    <row r="164" spans="3:4" ht="9" customHeight="1">
      <c r="C164" s="578" t="s">
        <v>3288</v>
      </c>
      <c r="D164" s="776">
        <v>46600</v>
      </c>
    </row>
    <row r="165" spans="3:4" ht="9" customHeight="1">
      <c r="C165" s="578" t="s">
        <v>3290</v>
      </c>
      <c r="D165" s="776">
        <v>25200</v>
      </c>
    </row>
    <row r="166" spans="3:4" ht="9" customHeight="1">
      <c r="C166" s="578" t="s">
        <v>3292</v>
      </c>
      <c r="D166" s="776">
        <v>45700</v>
      </c>
    </row>
    <row r="167" spans="3:4" ht="9" customHeight="1">
      <c r="C167" s="578" t="s">
        <v>1461</v>
      </c>
      <c r="D167" s="776">
        <v>37000</v>
      </c>
    </row>
    <row r="168" spans="3:4" ht="9" customHeight="1">
      <c r="C168" s="578" t="s">
        <v>1463</v>
      </c>
      <c r="D168" s="776">
        <v>40300</v>
      </c>
    </row>
    <row r="169" spans="3:4" ht="9" customHeight="1">
      <c r="C169" s="577" t="s">
        <v>2663</v>
      </c>
      <c r="D169" s="776">
        <v>51200</v>
      </c>
    </row>
    <row r="170" spans="3:4" ht="9" customHeight="1">
      <c r="C170" s="577" t="s">
        <v>2979</v>
      </c>
      <c r="D170" s="776">
        <v>47000</v>
      </c>
    </row>
    <row r="171" spans="3:4" ht="9" customHeight="1">
      <c r="C171" s="577" t="s">
        <v>2981</v>
      </c>
      <c r="D171" s="776">
        <v>43300</v>
      </c>
    </row>
    <row r="172" spans="3:4" ht="9" customHeight="1">
      <c r="C172" s="577" t="s">
        <v>2983</v>
      </c>
      <c r="D172" s="776">
        <v>51200</v>
      </c>
    </row>
    <row r="173" spans="3:4" ht="9" customHeight="1">
      <c r="C173" s="577" t="s">
        <v>2985</v>
      </c>
      <c r="D173" s="776">
        <v>38400</v>
      </c>
    </row>
    <row r="174" spans="3:4" ht="9" customHeight="1">
      <c r="C174" s="578" t="s">
        <v>2987</v>
      </c>
      <c r="D174" s="776">
        <v>50100</v>
      </c>
    </row>
    <row r="175" spans="3:4" ht="9" customHeight="1">
      <c r="C175" s="577" t="s">
        <v>2989</v>
      </c>
      <c r="D175" s="776">
        <v>41000</v>
      </c>
    </row>
    <row r="176" spans="3:4" ht="9" customHeight="1">
      <c r="C176" s="577" t="s">
        <v>2992</v>
      </c>
      <c r="D176" s="776">
        <v>50700</v>
      </c>
    </row>
    <row r="177" spans="3:4" ht="9" customHeight="1">
      <c r="C177" s="578" t="s">
        <v>3086</v>
      </c>
      <c r="D177" s="776">
        <v>44900</v>
      </c>
    </row>
    <row r="178" spans="3:4" ht="9" customHeight="1">
      <c r="C178" s="577" t="s">
        <v>117</v>
      </c>
      <c r="D178" s="776">
        <v>46000</v>
      </c>
    </row>
    <row r="179" spans="3:4" ht="9" customHeight="1">
      <c r="C179" s="577" t="s">
        <v>119</v>
      </c>
      <c r="D179" s="776">
        <v>36500</v>
      </c>
    </row>
    <row r="180" spans="3:4" ht="9" customHeight="1">
      <c r="C180" s="577" t="s">
        <v>121</v>
      </c>
      <c r="D180" s="776">
        <v>42800</v>
      </c>
    </row>
    <row r="181" spans="3:4" ht="9" customHeight="1">
      <c r="C181" s="577" t="s">
        <v>123</v>
      </c>
      <c r="D181" s="776">
        <v>51700</v>
      </c>
    </row>
    <row r="182" spans="3:4" ht="9" customHeight="1">
      <c r="C182" s="577" t="s">
        <v>125</v>
      </c>
      <c r="D182" s="776">
        <v>37800</v>
      </c>
    </row>
    <row r="183" spans="3:4" ht="9" customHeight="1">
      <c r="C183" s="577" t="s">
        <v>127</v>
      </c>
      <c r="D183" s="776">
        <v>47100</v>
      </c>
    </row>
    <row r="184" spans="3:4" ht="9" customHeight="1">
      <c r="C184" s="577" t="s">
        <v>129</v>
      </c>
      <c r="D184" s="776">
        <v>53800</v>
      </c>
    </row>
    <row r="185" spans="3:4" ht="9" customHeight="1">
      <c r="C185" s="577" t="s">
        <v>3631</v>
      </c>
      <c r="D185" s="776">
        <v>41100</v>
      </c>
    </row>
    <row r="186" spans="3:4" ht="9" customHeight="1">
      <c r="C186" s="577" t="s">
        <v>3633</v>
      </c>
      <c r="D186" s="776">
        <v>42000</v>
      </c>
    </row>
    <row r="187" spans="3:4" ht="9" customHeight="1">
      <c r="C187" s="577" t="s">
        <v>3635</v>
      </c>
      <c r="D187" s="776">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8671875" defaultRowHeight="13.2"/>
  <cols>
    <col min="1" max="18" width="12.109375" style="748" customWidth="1"/>
    <col min="19" max="16384" width="8.88671875" style="748"/>
  </cols>
  <sheetData>
    <row r="1" spans="1:2">
      <c r="A1" s="748" t="s">
        <v>1590</v>
      </c>
    </row>
    <row r="2" spans="1:2">
      <c r="A2" s="748" t="str">
        <f>'Part I-Project Information'!F22</f>
        <v xml:space="preserve">Hampton Court </v>
      </c>
    </row>
    <row r="3" spans="1:2">
      <c r="A3" s="748" t="str">
        <f>CONCATENATE('Part I-Project Information'!F24,", ", 'Part I-Project Information'!J25," County")</f>
        <v>Hampton, Henry County</v>
      </c>
    </row>
    <row r="4" spans="1:2" ht="12" customHeight="1"/>
    <row r="5" spans="1:2" ht="111" customHeight="1">
      <c r="A5" s="748" t="str">
        <f>'Project Narrative'!A5</f>
        <v xml:space="preserve">Hampton Court  is a phased development which will provide quality affordable housing in the picturesque city of Hampton. Hampton  is a an established community with many opportunities for shopping, cultural activities, and relaxation. It is situated approximately  30 miles south of Atlanta.The city of Hampton  is also currently marketing itself as a destination for retirees which when accompanied by the naturally aging population of the community makes it a fertile market for senior housing development.  Recent results of the 2010 census show that Henry County is the 10th fastest growing county in the nation and therefore there is a growing demand for rental housing to meet these needs. Hampton Court is designed to meet the needs of people fifty-five years or older, and we anticipate that we will be catering to recent retirees from the Atlanta. </v>
      </c>
      <c r="B5" s="748" t="s">
        <v>1591</v>
      </c>
    </row>
    <row r="6" spans="1:2" ht="6.6" customHeight="1"/>
    <row r="7" spans="1:2" ht="111" customHeight="1">
      <c r="A7" s="748" t="str">
        <f>'Project Narrative'!A7</f>
        <v xml:space="preserve">It will be located at the intersection of Highway 20, S. Hampton Rd. and Hampton Locust Grove Rd.  As can be seen from the neighborhood proximity map, the proposed location is desirable for a population of seniors. It has convenient access into town as well as to I-75, and is ideally placed close to the Atlanta metro area and  McDonough . The project is conveniently located  close to the downtown area with affordable restaurants and other attractions. </v>
      </c>
    </row>
    <row r="8" spans="1:2" ht="6.6" customHeight="1"/>
    <row r="9" spans="1:2" ht="111" customHeight="1">
      <c r="A9" s="748" t="str">
        <f>'Project Narrative'!A9</f>
        <v>The site has gently rolling terrain with open areas as well as being fairly wooded with mature trees. Some of the existing large trees will be incorporated into the site design, which, along with decorative fencing will make it attractive setting for a senior complex.</v>
      </c>
    </row>
    <row r="10" spans="1:2" ht="6.6" customHeight="1"/>
    <row r="11" spans="1:2" ht="111" customHeight="1">
      <c r="A11" s="748" t="str">
        <f>'Project Narrative'!A11</f>
        <v>This development will consist of 60 two-bedroom units. The buildings will be predominately brick and all units will all be ground entry for the convenience of the targeted population.</v>
      </c>
    </row>
    <row r="12" spans="1:2" ht="6.6" customHeight="1"/>
    <row r="13" spans="1:2" ht="111" customHeight="1">
      <c r="A13" s="748" t="str">
        <f>'Project Narrative'!A13</f>
        <v>A very good response has been received from the residents of Hampton about our proposed development.  The development will also have numerous activities and an elaborate clubhouse. These amenities and services will surely contribute to Hampton Court's potential to enhance the health and well-being of the families (seniors) who will call it home.</v>
      </c>
    </row>
    <row r="14" spans="1:2" ht="6.6" customHeight="1"/>
    <row r="15" spans="1:2" ht="111" customHeight="1">
      <c r="A15" s="748" t="str">
        <f>'Project Narrative'!A15</f>
        <v xml:space="preserve">Potemkin Development Inc, is home based in central Georgia and this will be very advantageous, not only in the construction of the apartment complex, but also in overseeing the management company as the development is rented initially and over the long term. Potemkin Development also has also developed a good relationship with the mayor, city council, and overall community, as can be seen from their support at the public hearing which was conducted. Potemkin Development looks forward to a long-term relationship with them in the city of Hampton. </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4032</v>
      </c>
      <c r="M32" s="748" t="s">
        <v>2729</v>
      </c>
    </row>
    <row r="33" spans="1:15" ht="12" customHeight="1">
      <c r="E33" s="748" t="s">
        <v>4033</v>
      </c>
      <c r="O33" s="748" t="str">
        <f>'Part I-Project Information'!$O$4</f>
        <v>2011-053</v>
      </c>
    </row>
    <row r="34" spans="1:15" ht="12" customHeight="1"/>
    <row r="35" spans="1:15" ht="13.2" customHeight="1">
      <c r="A35" s="748" t="s">
        <v>950</v>
      </c>
      <c r="C35" s="748" t="s">
        <v>3590</v>
      </c>
      <c r="F35" s="748" t="s">
        <v>2740</v>
      </c>
      <c r="J35" s="748">
        <f>'Part IV-Uses of Funds'!J194</f>
        <v>0</v>
      </c>
    </row>
    <row r="36" spans="1:15" ht="13.2" customHeight="1">
      <c r="F36" s="748" t="s">
        <v>1982</v>
      </c>
      <c r="J36" s="748">
        <f>'Part III A-Sources of Funds'!J34</f>
        <v>0</v>
      </c>
    </row>
    <row r="37" spans="1:15" ht="7.2" customHeight="1"/>
    <row r="38" spans="1:15" ht="13.2" customHeight="1">
      <c r="A38" s="748" t="s">
        <v>1229</v>
      </c>
      <c r="C38" s="748" t="s">
        <v>3132</v>
      </c>
      <c r="F38" s="748" t="str">
        <f>'Part I-Project Information'!$F$9</f>
        <v>Competitive Round</v>
      </c>
      <c r="I38" s="748" t="s">
        <v>1230</v>
      </c>
      <c r="J38" s="748">
        <f>'Part I-Project Information'!$J$9</f>
        <v>0</v>
      </c>
    </row>
    <row r="39" spans="1:15" ht="7.2" customHeight="1"/>
    <row r="40" spans="1:15" ht="13.2" customHeight="1">
      <c r="A40" s="748" t="s">
        <v>1231</v>
      </c>
      <c r="C40" s="748" t="s">
        <v>2206</v>
      </c>
    </row>
    <row r="41" spans="1:15" ht="3" customHeight="1"/>
    <row r="42" spans="1:15" ht="13.2" customHeight="1">
      <c r="C42" s="748" t="s">
        <v>3442</v>
      </c>
      <c r="F42" s="748" t="str">
        <f>'Part I-Project Information'!$F$13</f>
        <v xml:space="preserve">John H. Collins </v>
      </c>
      <c r="M42" s="748" t="s">
        <v>3057</v>
      </c>
      <c r="N42" s="748" t="str">
        <f>'Part I-Project Information'!N13</f>
        <v>President</v>
      </c>
    </row>
    <row r="43" spans="1:15" ht="13.2" customHeight="1">
      <c r="C43" s="748" t="s">
        <v>3058</v>
      </c>
      <c r="F43" s="748" t="str">
        <f>'Part I-Project Information'!$F$14</f>
        <v xml:space="preserve">203 West Church St. </v>
      </c>
      <c r="M43" s="748" t="s">
        <v>2746</v>
      </c>
      <c r="O43" s="748">
        <f>'Part I-Project Information'!O14</f>
        <v>0</v>
      </c>
    </row>
    <row r="44" spans="1:15" ht="13.2" customHeight="1">
      <c r="C44" s="748" t="s">
        <v>953</v>
      </c>
      <c r="F44" s="748" t="str">
        <f>'Part I-Project Information'!$F$15</f>
        <v xml:space="preserve">Fort Valley </v>
      </c>
      <c r="M44" s="748" t="s">
        <v>2833</v>
      </c>
      <c r="O44" s="748">
        <f>'Part I-Project Information'!O15</f>
        <v>4788250999</v>
      </c>
    </row>
    <row r="45" spans="1:15" ht="13.2" customHeight="1">
      <c r="C45" s="748" t="s">
        <v>2830</v>
      </c>
      <c r="F45" s="748" t="str">
        <f>'Part I-Project Information'!$F$16</f>
        <v>GA</v>
      </c>
      <c r="I45" s="748" t="s">
        <v>3354</v>
      </c>
      <c r="J45" s="748">
        <f>'Part I-Project Information'!J16</f>
        <v>310303731</v>
      </c>
      <c r="M45" s="748" t="s">
        <v>3056</v>
      </c>
      <c r="O45" s="748">
        <f>'Part I-Project Information'!O16</f>
        <v>7706174375</v>
      </c>
    </row>
    <row r="46" spans="1:15" ht="13.2" customHeight="1">
      <c r="C46" s="748" t="s">
        <v>2745</v>
      </c>
      <c r="F46" s="748">
        <f>'Part I-Project Information'!F17</f>
        <v>4788257754</v>
      </c>
      <c r="I46" s="748" t="s">
        <v>2744</v>
      </c>
      <c r="J46" s="748">
        <f>'Part I-Project Information'!J17</f>
        <v>0</v>
      </c>
      <c r="K46" s="748" t="s">
        <v>3061</v>
      </c>
      <c r="L46" s="748" t="str">
        <f>'Part I-Project Information'!L17</f>
        <v>potemk1@bellsouth.net</v>
      </c>
    </row>
    <row r="47" spans="1:15" ht="13.2" customHeight="1">
      <c r="C47" s="748" t="s">
        <v>997</v>
      </c>
    </row>
    <row r="48" spans="1:15" ht="7.2" customHeight="1"/>
    <row r="49" spans="1:16" ht="13.2" customHeight="1">
      <c r="A49" s="748" t="s">
        <v>2823</v>
      </c>
      <c r="C49" s="748" t="s">
        <v>2207</v>
      </c>
    </row>
    <row r="50" spans="1:16" ht="3" customHeight="1"/>
    <row r="51" spans="1:16" ht="13.2" customHeight="1">
      <c r="C51" s="748" t="s">
        <v>951</v>
      </c>
      <c r="F51" s="748" t="str">
        <f>'Part I-Project Information'!F22</f>
        <v xml:space="preserve">Hampton Court </v>
      </c>
      <c r="M51" s="748" t="s">
        <v>3300</v>
      </c>
      <c r="O51" s="748" t="str">
        <f>'Part I-Project Information'!O22</f>
        <v>Yes- w/Master Plan</v>
      </c>
    </row>
    <row r="52" spans="1:16" ht="13.2" customHeight="1">
      <c r="C52" s="748" t="s">
        <v>952</v>
      </c>
      <c r="F52" s="748" t="str">
        <f>'Part I-Project Information'!F23</f>
        <v xml:space="preserve">Intersection of S.hampton Rd. &amp; Hampton Locust Grove Rd. </v>
      </c>
      <c r="M52" s="748" t="s">
        <v>3146</v>
      </c>
      <c r="O52" s="748" t="str">
        <f>'Part I-Project Information'!O23</f>
        <v>No</v>
      </c>
    </row>
    <row r="53" spans="1:16" ht="13.2" customHeight="1">
      <c r="C53" s="748" t="s">
        <v>953</v>
      </c>
      <c r="F53" s="748" t="str">
        <f>'Part I-Project Information'!F24</f>
        <v>Hampton</v>
      </c>
      <c r="I53" s="748" t="s">
        <v>4034</v>
      </c>
      <c r="J53" s="748">
        <f>'Part I-Project Information'!J24</f>
        <v>302280400</v>
      </c>
      <c r="L53" s="748" t="str">
        <f>IF(AND(NOT(F51=""),NOT(F53="Select from list"),J53=""),"Enter Zip!","")</f>
        <v/>
      </c>
      <c r="M53" s="748" t="s">
        <v>3416</v>
      </c>
      <c r="O53" s="748">
        <f>'Part I-Project Information'!O24</f>
        <v>15</v>
      </c>
    </row>
    <row r="54" spans="1:16" ht="13.2" customHeight="1">
      <c r="C54" s="748" t="s">
        <v>3145</v>
      </c>
      <c r="F54" s="748" t="str">
        <f>'Part I-Project Information'!F25</f>
        <v>Yes</v>
      </c>
      <c r="I54" s="748" t="s">
        <v>954</v>
      </c>
      <c r="J54" s="748" t="str">
        <f>'Part I-Project Information'!J25</f>
        <v>Henry</v>
      </c>
      <c r="M54" s="748" t="s">
        <v>3435</v>
      </c>
      <c r="O54" s="748">
        <f>'Part I-Project Information'!O25</f>
        <v>705</v>
      </c>
    </row>
    <row r="55" spans="1:16" ht="13.2" customHeight="1">
      <c r="C55" s="748" t="s">
        <v>2313</v>
      </c>
      <c r="F55" s="748" t="str">
        <f>'Part I-Project Information'!F26</f>
        <v>Yes</v>
      </c>
      <c r="I55" s="748" t="s">
        <v>885</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2" customHeight="1">
      <c r="F57" s="748" t="s">
        <v>4035</v>
      </c>
      <c r="H57" s="748" t="s">
        <v>1225</v>
      </c>
      <c r="J57" s="748" t="s">
        <v>1226</v>
      </c>
    </row>
    <row r="58" spans="1:16" ht="13.2" customHeight="1">
      <c r="C58" s="748" t="s">
        <v>955</v>
      </c>
      <c r="F58" s="748">
        <f>'Part I-Project Information'!F29</f>
        <v>3</v>
      </c>
      <c r="H58" s="748">
        <f>'Part I-Project Information'!H29</f>
        <v>17</v>
      </c>
      <c r="J58" s="748">
        <f>'Part I-Project Information'!J29</f>
        <v>73</v>
      </c>
    </row>
    <row r="59" spans="1:16" ht="13.2" customHeight="1">
      <c r="C59" s="748" t="s">
        <v>1227</v>
      </c>
      <c r="F59" s="748">
        <f>'Part I-Project Information'!F30</f>
        <v>0</v>
      </c>
      <c r="H59" s="748">
        <f>'Part I-Project Information'!H30</f>
        <v>0</v>
      </c>
      <c r="J59" s="748">
        <f>'Part I-Project Information'!J30</f>
        <v>0</v>
      </c>
    </row>
    <row r="60" spans="1:16" ht="3" customHeight="1"/>
    <row r="61" spans="1:16" ht="13.2" customHeight="1">
      <c r="C61" s="748" t="s">
        <v>973</v>
      </c>
      <c r="F61" s="748" t="str">
        <f>'Part I-Project Information'!F32</f>
        <v>Hampton</v>
      </c>
    </row>
    <row r="62" spans="1:16" ht="13.2" customHeight="1">
      <c r="C62" s="748" t="s">
        <v>974</v>
      </c>
      <c r="F62" s="748" t="str">
        <f>'Part I-Project Information'!F33</f>
        <v>Raiford W. Coley</v>
      </c>
      <c r="K62" s="748" t="s">
        <v>3057</v>
      </c>
      <c r="L62" s="748" t="str">
        <f>'Part I-Project Information'!L33</f>
        <v>Mayor</v>
      </c>
    </row>
    <row r="63" spans="1:16" ht="13.2" customHeight="1">
      <c r="C63" s="748" t="s">
        <v>3058</v>
      </c>
      <c r="F63" s="748" t="str">
        <f>'Part I-Project Information'!F34</f>
        <v>P.O Box 400</v>
      </c>
      <c r="K63" s="748" t="s">
        <v>953</v>
      </c>
      <c r="L63" s="748" t="str">
        <f>'Part I-Project Information'!L34</f>
        <v>Hampton</v>
      </c>
    </row>
    <row r="64" spans="1:16" ht="13.2" customHeight="1">
      <c r="C64" s="748" t="s">
        <v>3354</v>
      </c>
      <c r="F64" s="748">
        <f>'Part I-Project Information'!F35</f>
        <v>302280400</v>
      </c>
      <c r="H64" s="748" t="s">
        <v>3059</v>
      </c>
      <c r="I64" s="748">
        <f>'Part I-Project Information'!I35</f>
        <v>7709464306</v>
      </c>
      <c r="L64" s="748" t="s">
        <v>2833</v>
      </c>
      <c r="M64" s="748">
        <f>'Part I-Project Information'!M35</f>
        <v>7709464356</v>
      </c>
    </row>
    <row r="65" spans="1:16" ht="7.2" customHeight="1"/>
    <row r="66" spans="1:16" ht="13.2" customHeight="1">
      <c r="A66" s="748" t="s">
        <v>2825</v>
      </c>
      <c r="C66" s="748" t="s">
        <v>2208</v>
      </c>
      <c r="J66" s="748" t="s">
        <v>4036</v>
      </c>
    </row>
    <row r="67" spans="1:16" ht="3" customHeight="1"/>
    <row r="68" spans="1:16">
      <c r="B68" s="748" t="s">
        <v>3060</v>
      </c>
      <c r="C68" s="748" t="s">
        <v>3437</v>
      </c>
      <c r="F68" s="748" t="str">
        <f>'Part I-Project Information'!F39</f>
        <v>No</v>
      </c>
      <c r="J68" s="748" t="s">
        <v>1971</v>
      </c>
      <c r="L68" s="748" t="s">
        <v>1972</v>
      </c>
    </row>
    <row r="69" spans="1:16" ht="3" customHeight="1"/>
    <row r="70" spans="1:16" ht="13.2" customHeight="1">
      <c r="B70" s="748" t="s">
        <v>3063</v>
      </c>
      <c r="C70" s="748" t="s">
        <v>3599</v>
      </c>
      <c r="J70" s="748" t="s">
        <v>1975</v>
      </c>
      <c r="L70" s="748" t="s">
        <v>1970</v>
      </c>
    </row>
    <row r="71" spans="1:16" ht="13.2" customHeight="1">
      <c r="C71" s="748" t="s">
        <v>3436</v>
      </c>
      <c r="F71" s="748">
        <f>'Part VI-Revenues &amp; Expenses'!$M$75</f>
        <v>60</v>
      </c>
    </row>
    <row r="72" spans="1:16" ht="13.2" customHeight="1">
      <c r="C72" s="748" t="s">
        <v>468</v>
      </c>
      <c r="F72" s="748">
        <f>'Part VI-Revenues &amp; Expenses'!$M$82</f>
        <v>0</v>
      </c>
    </row>
    <row r="73" spans="1:16" ht="13.2" customHeight="1">
      <c r="C73" s="748" t="s">
        <v>442</v>
      </c>
      <c r="F73" s="748">
        <f>'Part VI-Revenues &amp; Expenses'!$M$78</f>
        <v>0</v>
      </c>
      <c r="G73" s="748" t="s">
        <v>444</v>
      </c>
      <c r="L73" s="748">
        <f>'Part I-Project Information'!L44</f>
        <v>0</v>
      </c>
    </row>
    <row r="74" spans="1:16" ht="13.2" customHeight="1">
      <c r="C74" s="748" t="s">
        <v>443</v>
      </c>
      <c r="F74" s="748">
        <f>'Part VI-Revenues &amp; Expenses'!$M$81</f>
        <v>0</v>
      </c>
    </row>
    <row r="75" spans="1:16" ht="13.2" customHeight="1">
      <c r="C75" s="748" t="s">
        <v>469</v>
      </c>
      <c r="F75" s="748">
        <f>'Part VI-Revenues &amp; Expenses'!$M$83</f>
        <v>0</v>
      </c>
    </row>
    <row r="76" spans="1:16" ht="3.6" customHeight="1"/>
    <row r="77" spans="1:16" ht="13.2" customHeight="1">
      <c r="B77" s="748" t="s">
        <v>1238</v>
      </c>
      <c r="C77" s="748" t="s">
        <v>3408</v>
      </c>
      <c r="I77" s="748" t="s">
        <v>2130</v>
      </c>
      <c r="J77" s="748" t="s">
        <v>3212</v>
      </c>
      <c r="K77" s="748" t="s">
        <v>3443</v>
      </c>
    </row>
    <row r="78" spans="1:16" ht="13.2" customHeight="1">
      <c r="C78" s="748" t="s">
        <v>3409</v>
      </c>
      <c r="H78" s="748">
        <f>SUM(H79:H80)</f>
        <v>60</v>
      </c>
      <c r="K78" s="748" t="s">
        <v>3444</v>
      </c>
      <c r="P78" s="748">
        <f>'Part VI-Revenues &amp; Expenses'!$M$94</f>
        <v>72000</v>
      </c>
    </row>
    <row r="79" spans="1:16" ht="13.2" customHeight="1">
      <c r="D79" s="748" t="s">
        <v>489</v>
      </c>
      <c r="H79" s="748">
        <f>'Part VI-Revenues &amp; Expenses'!$M$58</f>
        <v>9</v>
      </c>
      <c r="I79" s="748">
        <f>'Part VI-Revenues &amp; Expenses'!$M$66</f>
        <v>0</v>
      </c>
      <c r="K79" s="748" t="s">
        <v>326</v>
      </c>
      <c r="P79" s="748">
        <f>'Part VI-Revenues &amp; Expenses'!$M$95</f>
        <v>0</v>
      </c>
    </row>
    <row r="80" spans="1:16" ht="13.2" customHeight="1">
      <c r="D80" s="748" t="s">
        <v>2863</v>
      </c>
      <c r="H80" s="748">
        <f>'Part VI-Revenues &amp; Expenses'!$M$57</f>
        <v>51</v>
      </c>
      <c r="I80" s="748">
        <f>'Part VI-Revenues &amp; Expenses'!$M$65</f>
        <v>0</v>
      </c>
      <c r="K80" s="748" t="s">
        <v>3445</v>
      </c>
      <c r="P80" s="748">
        <f>+P78+P79</f>
        <v>72000</v>
      </c>
    </row>
    <row r="81" spans="1:16" ht="13.2" customHeight="1">
      <c r="C81" s="748" t="s">
        <v>327</v>
      </c>
      <c r="H81" s="748">
        <f>'Part VI-Revenues &amp; Expenses'!$M$60</f>
        <v>0</v>
      </c>
      <c r="K81" s="748" t="s">
        <v>2133</v>
      </c>
      <c r="P81" s="748">
        <f>'Part VI-Revenues &amp; Expenses'!$M$97</f>
        <v>0</v>
      </c>
    </row>
    <row r="82" spans="1:16" ht="13.2" customHeight="1">
      <c r="C82" s="748" t="s">
        <v>3650</v>
      </c>
      <c r="H82" s="748">
        <f>+H78+H81</f>
        <v>60</v>
      </c>
      <c r="K82" s="748" t="s">
        <v>2132</v>
      </c>
      <c r="P82" s="748">
        <f>+P80+P81</f>
        <v>72000</v>
      </c>
    </row>
    <row r="83" spans="1:16" ht="13.2" customHeight="1">
      <c r="C83" s="748" t="s">
        <v>3651</v>
      </c>
      <c r="H83" s="748">
        <f>'Part VI-Revenues &amp; Expenses'!$M$62</f>
        <v>0</v>
      </c>
    </row>
    <row r="84" spans="1:16" ht="13.2" customHeight="1">
      <c r="C84" s="748" t="s">
        <v>2824</v>
      </c>
      <c r="H84" s="748">
        <f>+H82+H83</f>
        <v>60</v>
      </c>
    </row>
    <row r="85" spans="1:16" ht="3" customHeight="1"/>
    <row r="86" spans="1:16" ht="13.2" customHeight="1">
      <c r="B86" s="748" t="s">
        <v>2762</v>
      </c>
      <c r="C86" s="748" t="s">
        <v>3438</v>
      </c>
      <c r="D86" s="748" t="s">
        <v>3074</v>
      </c>
      <c r="H86" s="748">
        <f>'Part I-Project Information'!H57</f>
        <v>9</v>
      </c>
      <c r="K86" s="748" t="s">
        <v>1759</v>
      </c>
      <c r="P86" s="748">
        <f>'Part I-Project Information'!P57</f>
        <v>3000</v>
      </c>
    </row>
    <row r="87" spans="1:16" ht="13.2" customHeight="1">
      <c r="D87" s="748" t="s">
        <v>3075</v>
      </c>
      <c r="H87" s="748">
        <f>'Part I-Project Information'!H58</f>
        <v>1</v>
      </c>
      <c r="K87" s="748" t="s">
        <v>325</v>
      </c>
      <c r="P87" s="748">
        <f>+P82+P86</f>
        <v>75000</v>
      </c>
    </row>
    <row r="88" spans="1:16" ht="13.2" customHeight="1">
      <c r="D88" s="748" t="s">
        <v>3076</v>
      </c>
      <c r="H88" s="748">
        <f>+H86+H87</f>
        <v>10</v>
      </c>
    </row>
    <row r="89" spans="1:16" ht="3" customHeight="1"/>
    <row r="90" spans="1:16" ht="13.2" customHeight="1">
      <c r="B90" s="748" t="s">
        <v>2763</v>
      </c>
      <c r="C90" s="748" t="s">
        <v>3600</v>
      </c>
      <c r="H90" s="748">
        <f>'Part I-Project Information'!H61</f>
        <v>100</v>
      </c>
    </row>
    <row r="91" spans="1:16" ht="9" customHeight="1"/>
    <row r="92" spans="1:16" ht="13.2" customHeight="1">
      <c r="A92" s="748" t="s">
        <v>822</v>
      </c>
      <c r="C92" s="748" t="s">
        <v>1836</v>
      </c>
    </row>
    <row r="93" spans="1:16" ht="3" customHeight="1"/>
    <row r="94" spans="1:16" ht="13.2" customHeight="1">
      <c r="B94" s="748" t="s">
        <v>3060</v>
      </c>
      <c r="C94" s="748" t="s">
        <v>2272</v>
      </c>
      <c r="H94" s="748" t="str">
        <f>'Part I-Project Information'!H65</f>
        <v>Senior (HFOP)</v>
      </c>
      <c r="K94" s="748" t="s">
        <v>2801</v>
      </c>
      <c r="N94" s="748">
        <f>'Part I-Project Information'!N65</f>
        <v>0</v>
      </c>
    </row>
    <row r="95" spans="1:16" ht="3" customHeight="1"/>
    <row r="96" spans="1:16" ht="13.2" customHeight="1">
      <c r="B96" s="748" t="s">
        <v>3063</v>
      </c>
      <c r="C96" s="748" t="s">
        <v>2121</v>
      </c>
      <c r="G96" s="748" t="s">
        <v>1378</v>
      </c>
      <c r="H96" s="748">
        <f>'Part I-Project Information'!H67</f>
        <v>3</v>
      </c>
      <c r="K96" s="748" t="s">
        <v>812</v>
      </c>
      <c r="P96" s="748">
        <f>IF('Part VI-Revenues &amp; Expenses'!$M$63=0,0,$H96/'Part VI-Revenues &amp; Expenses'!$M$63)</f>
        <v>0.05</v>
      </c>
    </row>
    <row r="97" spans="1:16" ht="3" customHeight="1"/>
    <row r="98" spans="1:16" ht="13.2" customHeight="1">
      <c r="B98" s="748" t="s">
        <v>1238</v>
      </c>
      <c r="C98" s="748" t="s">
        <v>2891</v>
      </c>
      <c r="G98" s="748" t="s">
        <v>1378</v>
      </c>
      <c r="H98" s="748">
        <f>'Part I-Project Information'!H69</f>
        <v>2</v>
      </c>
      <c r="K98" s="748" t="s">
        <v>812</v>
      </c>
      <c r="P98" s="748">
        <f>IF('Part VI-Revenues &amp; Expenses'!$M$63=0,0,$H98/'Part VI-Revenues &amp; Expenses'!$M$63)</f>
        <v>3.3333333333333333E-2</v>
      </c>
    </row>
    <row r="99" spans="1:16" ht="3" customHeight="1"/>
    <row r="100" spans="1:16" ht="13.2" customHeight="1">
      <c r="B100" s="748" t="s">
        <v>3212</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2" customHeight="1">
      <c r="A102" s="748" t="s">
        <v>1347</v>
      </c>
      <c r="C102" s="748" t="s">
        <v>3592</v>
      </c>
    </row>
    <row r="103" spans="1:16" ht="3" customHeight="1"/>
    <row r="104" spans="1:16" ht="13.2" customHeight="1">
      <c r="B104" s="748" t="s">
        <v>3060</v>
      </c>
      <c r="C104" s="748" t="s">
        <v>3591</v>
      </c>
      <c r="H104" s="748" t="str">
        <f>'Part I-Project Information'!H75</f>
        <v>40% of Units at 60% of AMI</v>
      </c>
    </row>
    <row r="105" spans="1:16" ht="3" customHeight="1"/>
    <row r="106" spans="1:16" ht="13.2" customHeight="1">
      <c r="B106" s="748" t="s">
        <v>3063</v>
      </c>
      <c r="C106" s="748" t="s">
        <v>2285</v>
      </c>
      <c r="K106" s="748" t="s">
        <v>1459</v>
      </c>
      <c r="P106" s="748" t="str">
        <f>'Part I-Project Information'!P77</f>
        <v>No</v>
      </c>
    </row>
    <row r="107" spans="1:16" ht="9" customHeight="1"/>
    <row r="108" spans="1:16" ht="13.2" customHeight="1">
      <c r="A108" s="748" t="s">
        <v>385</v>
      </c>
      <c r="C108" s="748" t="s">
        <v>3133</v>
      </c>
    </row>
    <row r="109" spans="1:16" ht="3" customHeight="1"/>
    <row r="110" spans="1:16" ht="13.2" customHeight="1">
      <c r="E110" s="748" t="str">
        <f>'Part I-Project Information'!E81</f>
        <v>No</v>
      </c>
      <c r="F110" s="748" t="s">
        <v>3914</v>
      </c>
      <c r="H110" s="748" t="str">
        <f>'Part I-Project Information'!H81</f>
        <v>Yes</v>
      </c>
      <c r="I110" s="748" t="s">
        <v>3913</v>
      </c>
      <c r="K110" s="748" t="str">
        <f>'Part I-Project Information'!K81</f>
        <v>No</v>
      </c>
      <c r="L110" s="748" t="s">
        <v>144</v>
      </c>
    </row>
    <row r="111" spans="1:16" ht="13.2" customHeight="1">
      <c r="E111" s="748" t="str">
        <f>'Part I-Project Information'!E82</f>
        <v>No</v>
      </c>
      <c r="F111" s="748" t="s">
        <v>650</v>
      </c>
      <c r="H111" s="748" t="str">
        <f>'Part I-Project Information'!H82</f>
        <v>No</v>
      </c>
      <c r="I111" s="748" t="s">
        <v>3233</v>
      </c>
      <c r="K111" s="748" t="str">
        <f>'Part I-Project Information'!K82</f>
        <v>No</v>
      </c>
      <c r="L111" s="748" t="s">
        <v>3234</v>
      </c>
    </row>
    <row r="112" spans="1:16" ht="9" customHeight="1"/>
    <row r="113" spans="1:15" ht="13.2" customHeight="1">
      <c r="A113" s="748" t="s">
        <v>541</v>
      </c>
      <c r="C113" s="748" t="s">
        <v>1834</v>
      </c>
    </row>
    <row r="114" spans="1:15" ht="3" customHeight="1"/>
    <row r="115" spans="1:15" ht="13.2" customHeight="1">
      <c r="C115" s="748" t="s">
        <v>847</v>
      </c>
      <c r="E115" s="748">
        <f>'Part I-Project Information'!E86</f>
        <v>0</v>
      </c>
      <c r="M115" s="748" t="s">
        <v>848</v>
      </c>
      <c r="O115" s="748">
        <f>'Part I-Project Information'!O86</f>
        <v>0</v>
      </c>
    </row>
    <row r="116" spans="1:15" ht="13.2" customHeight="1">
      <c r="C116" s="748" t="s">
        <v>1641</v>
      </c>
      <c r="E116" s="748">
        <f>'Part I-Project Information'!E87</f>
        <v>0</v>
      </c>
      <c r="M116" s="748" t="s">
        <v>1390</v>
      </c>
      <c r="O116" s="748">
        <f>'Part I-Project Information'!O87</f>
        <v>0</v>
      </c>
    </row>
    <row r="117" spans="1:15" ht="13.2" customHeight="1">
      <c r="C117" s="748" t="s">
        <v>953</v>
      </c>
      <c r="E117" s="748">
        <f>'Part I-Project Information'!E88</f>
        <v>0</v>
      </c>
      <c r="H117" s="748" t="s">
        <v>2830</v>
      </c>
      <c r="I117" s="748">
        <f>'Part I-Project Information'!I88</f>
        <v>0</v>
      </c>
      <c r="J117" s="748" t="s">
        <v>3354</v>
      </c>
      <c r="K117" s="748">
        <f>'Part I-Project Information'!K88</f>
        <v>0</v>
      </c>
    </row>
    <row r="118" spans="1:15" ht="13.2" customHeight="1">
      <c r="C118" s="748" t="s">
        <v>3302</v>
      </c>
      <c r="E118" s="748">
        <f>'Part I-Project Information'!E89</f>
        <v>0</v>
      </c>
      <c r="H118" s="748" t="s">
        <v>3057</v>
      </c>
      <c r="I118" s="748">
        <f>'Part I-Project Information'!I89</f>
        <v>0</v>
      </c>
      <c r="L118" s="748" t="s">
        <v>3061</v>
      </c>
      <c r="M118" s="748">
        <f>'Part I-Project Information'!M89</f>
        <v>0</v>
      </c>
    </row>
    <row r="119" spans="1:15" ht="13.2"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2" customHeight="1">
      <c r="A121" s="748" t="s">
        <v>463</v>
      </c>
      <c r="C121" s="748" t="s">
        <v>2665</v>
      </c>
    </row>
    <row r="122" spans="1:15" ht="3.6" customHeight="1"/>
    <row r="123" spans="1:15" ht="13.2" customHeight="1">
      <c r="C123" s="748" t="s">
        <v>3257</v>
      </c>
    </row>
    <row r="124" spans="1:15" ht="4.95" customHeight="1"/>
    <row r="125" spans="1:15" ht="13.2" customHeight="1">
      <c r="B125" s="748" t="s">
        <v>3060</v>
      </c>
      <c r="C125" s="748" t="s">
        <v>2122</v>
      </c>
      <c r="H125" s="748">
        <f>'Part I-Project Information'!H96</f>
        <v>1</v>
      </c>
    </row>
    <row r="126" spans="1:15" ht="3.6" customHeight="1"/>
    <row r="127" spans="1:15" ht="13.2" customHeight="1">
      <c r="B127" s="748" t="s">
        <v>3063</v>
      </c>
      <c r="C127" s="748" t="s">
        <v>525</v>
      </c>
      <c r="H127" s="748">
        <f>'Part I-Project Information'!H98</f>
        <v>0</v>
      </c>
    </row>
    <row r="128" spans="1:15" ht="3.6" customHeight="1"/>
    <row r="129" spans="2:13" ht="13.2" customHeight="1">
      <c r="B129" s="748" t="s">
        <v>1238</v>
      </c>
      <c r="C129" s="748" t="s">
        <v>395</v>
      </c>
    </row>
    <row r="130" spans="2:13" ht="13.2" customHeight="1">
      <c r="C130" s="748" t="s">
        <v>3235</v>
      </c>
      <c r="F130" s="748" t="s">
        <v>1773</v>
      </c>
      <c r="J130" s="748" t="s">
        <v>3235</v>
      </c>
      <c r="M130" s="748" t="s">
        <v>1773</v>
      </c>
    </row>
    <row r="131" spans="2:13" ht="13.2" customHeight="1">
      <c r="C131" s="748" t="str">
        <f>'Part I-Project Information'!C102</f>
        <v>Potemkin Development, Inc.</v>
      </c>
      <c r="F131" s="748" t="str">
        <f>'Part I-Project Information'!F102</f>
        <v>Hampton Court</v>
      </c>
      <c r="J131" s="748">
        <f>'Part I-Project Information'!J102</f>
        <v>8</v>
      </c>
      <c r="M131" s="748">
        <f>'Part I-Project Information'!M102</f>
        <v>0</v>
      </c>
    </row>
    <row r="132" spans="2:13" ht="13.2" customHeight="1">
      <c r="C132" s="748">
        <f>'Part I-Project Information'!C103</f>
        <v>2</v>
      </c>
      <c r="F132" s="748">
        <f>'Part I-Project Information'!F103</f>
        <v>0</v>
      </c>
      <c r="J132" s="748">
        <f>'Part I-Project Information'!J103</f>
        <v>9</v>
      </c>
      <c r="M132" s="748">
        <f>'Part I-Project Information'!M103</f>
        <v>0</v>
      </c>
    </row>
    <row r="133" spans="2:13" ht="13.2" customHeight="1">
      <c r="C133" s="748">
        <f>'Part I-Project Information'!C104</f>
        <v>3</v>
      </c>
      <c r="F133" s="748">
        <f>'Part I-Project Information'!F104</f>
        <v>0</v>
      </c>
      <c r="J133" s="748">
        <f>'Part I-Project Information'!J104</f>
        <v>10</v>
      </c>
      <c r="M133" s="748">
        <f>'Part I-Project Information'!M104</f>
        <v>0</v>
      </c>
    </row>
    <row r="134" spans="2:13" ht="13.2" customHeight="1">
      <c r="C134" s="748">
        <f>'Part I-Project Information'!C105</f>
        <v>4</v>
      </c>
      <c r="F134" s="748">
        <f>'Part I-Project Information'!F105</f>
        <v>0</v>
      </c>
      <c r="J134" s="748">
        <f>'Part I-Project Information'!J105</f>
        <v>11</v>
      </c>
      <c r="M134" s="748">
        <f>'Part I-Project Information'!M105</f>
        <v>0</v>
      </c>
    </row>
    <row r="135" spans="2:13" ht="13.2" customHeight="1">
      <c r="C135" s="748">
        <f>'Part I-Project Information'!C106</f>
        <v>5</v>
      </c>
      <c r="F135" s="748">
        <f>'Part I-Project Information'!F106</f>
        <v>0</v>
      </c>
      <c r="J135" s="748">
        <f>'Part I-Project Information'!J106</f>
        <v>12</v>
      </c>
      <c r="M135" s="748">
        <f>'Part I-Project Information'!M106</f>
        <v>0</v>
      </c>
    </row>
    <row r="136" spans="2:13" ht="13.2" customHeight="1">
      <c r="C136" s="748">
        <f>'Part I-Project Information'!C107</f>
        <v>6</v>
      </c>
      <c r="F136" s="748">
        <f>'Part I-Project Information'!F107</f>
        <v>0</v>
      </c>
      <c r="J136" s="748">
        <f>'Part I-Project Information'!J107</f>
        <v>13</v>
      </c>
      <c r="M136" s="748">
        <f>'Part I-Project Information'!M107</f>
        <v>0</v>
      </c>
    </row>
    <row r="137" spans="2:13" ht="13.2" customHeight="1">
      <c r="C137" s="748">
        <f>'Part I-Project Information'!C108</f>
        <v>7</v>
      </c>
      <c r="F137" s="748">
        <f>'Part I-Project Information'!F108</f>
        <v>0</v>
      </c>
      <c r="J137" s="748">
        <f>'Part I-Project Information'!J108</f>
        <v>14</v>
      </c>
      <c r="M137" s="748">
        <f>'Part I-Project Information'!M108</f>
        <v>0</v>
      </c>
    </row>
    <row r="138" spans="2:13" ht="4.95" customHeight="1"/>
    <row r="139" spans="2:13" ht="13.2" customHeight="1">
      <c r="B139" s="748" t="s">
        <v>3212</v>
      </c>
      <c r="C139" s="748" t="s">
        <v>2900</v>
      </c>
    </row>
    <row r="140" spans="2:13" ht="13.2" customHeight="1"/>
    <row r="141" spans="2:13" ht="13.2" customHeight="1">
      <c r="C141" s="748" t="s">
        <v>3235</v>
      </c>
      <c r="F141" s="748" t="s">
        <v>1773</v>
      </c>
      <c r="J141" s="748" t="s">
        <v>3235</v>
      </c>
      <c r="M141" s="748" t="s">
        <v>1773</v>
      </c>
    </row>
    <row r="142" spans="2:13" ht="13.2" customHeight="1">
      <c r="C142" s="748">
        <f>'Part I-Project Information'!C113</f>
        <v>1</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464</v>
      </c>
      <c r="C150" s="748" t="s">
        <v>3665</v>
      </c>
      <c r="H150" s="748" t="str">
        <f>'Part I-Project Information'!H121</f>
        <v>No</v>
      </c>
    </row>
    <row r="151" spans="1:15" ht="3" customHeight="1"/>
    <row r="152" spans="1:15" ht="13.2" customHeight="1">
      <c r="B152" s="748" t="s">
        <v>3060</v>
      </c>
      <c r="C152" s="748" t="s">
        <v>2731</v>
      </c>
      <c r="H152" s="748">
        <f>'Part I-Project Information'!H123</f>
        <v>0</v>
      </c>
    </row>
    <row r="153" spans="1:15" ht="13.2" customHeight="1">
      <c r="C153" s="748" t="s">
        <v>3667</v>
      </c>
      <c r="H153" s="748">
        <f>'Part I-Project Information'!H124</f>
        <v>0</v>
      </c>
    </row>
    <row r="154" spans="1:15" ht="13.2" customHeight="1">
      <c r="C154" s="748" t="s">
        <v>2730</v>
      </c>
      <c r="H154" s="748">
        <f>'Part I-Project Information'!H125</f>
        <v>0</v>
      </c>
    </row>
    <row r="155" spans="1:15" ht="13.2" customHeight="1">
      <c r="C155" s="748" t="s">
        <v>3668</v>
      </c>
      <c r="H155" s="748">
        <f>'Part I-Project Information'!H126</f>
        <v>0</v>
      </c>
      <c r="K155" s="748" t="s">
        <v>3375</v>
      </c>
      <c r="O155" s="748" t="str">
        <f>'Part I-Project Information'!O126</f>
        <v>GA-</v>
      </c>
    </row>
    <row r="156" spans="1:15" ht="13.2" customHeight="1">
      <c r="C156" s="748" t="s">
        <v>3666</v>
      </c>
      <c r="H156" s="748">
        <f>'Part I-Project Information'!H127</f>
        <v>0</v>
      </c>
      <c r="K156" s="748" t="s">
        <v>3376</v>
      </c>
      <c r="O156" s="748" t="str">
        <f>'Part I-Project Information'!O127</f>
        <v>GA-</v>
      </c>
    </row>
    <row r="157" spans="1:15" ht="13.2" customHeight="1">
      <c r="C157" s="748" t="s">
        <v>3273</v>
      </c>
      <c r="H157" s="748">
        <f>'Part I-Project Information'!H128</f>
        <v>0</v>
      </c>
    </row>
    <row r="158" spans="1:15" ht="3" customHeight="1"/>
    <row r="159" spans="1:15" ht="13.2" customHeight="1">
      <c r="B159" s="748" t="s">
        <v>3063</v>
      </c>
      <c r="C159" s="748" t="s">
        <v>3770</v>
      </c>
      <c r="H159" s="748">
        <f>'Part I-Project Information'!H130</f>
        <v>0</v>
      </c>
    </row>
    <row r="160" spans="1:15" ht="3" customHeight="1"/>
    <row r="161" spans="1:16" ht="13.2" customHeight="1">
      <c r="B161" s="748" t="s">
        <v>1238</v>
      </c>
      <c r="C161" s="748" t="s">
        <v>981</v>
      </c>
    </row>
    <row r="162" spans="1:16" ht="13.2" customHeight="1">
      <c r="C162" s="748" t="s">
        <v>4037</v>
      </c>
      <c r="H162" s="748">
        <f>'Part I-Project Information'!H133</f>
        <v>0</v>
      </c>
      <c r="K162" s="748" t="s">
        <v>2286</v>
      </c>
      <c r="O162" s="748">
        <f>'Part I-Project Information'!O133</f>
        <v>0</v>
      </c>
    </row>
    <row r="163" spans="1:16" ht="13.2" customHeight="1">
      <c r="C163" s="748" t="s">
        <v>4038</v>
      </c>
      <c r="H163" s="748">
        <f>'Part I-Project Information'!H134</f>
        <v>0</v>
      </c>
    </row>
    <row r="164" spans="1:16" ht="6" customHeight="1"/>
    <row r="165" spans="1:16" ht="13.2" customHeight="1">
      <c r="A165" s="748" t="s">
        <v>465</v>
      </c>
      <c r="C165" s="748" t="s">
        <v>1835</v>
      </c>
    </row>
    <row r="166" spans="1:16" ht="1.95" customHeight="1"/>
    <row r="167" spans="1:16" ht="13.2" customHeight="1">
      <c r="B167" s="748" t="s">
        <v>3060</v>
      </c>
      <c r="C167" s="748" t="s">
        <v>2864</v>
      </c>
    </row>
    <row r="168" spans="1:16" ht="12.6" customHeight="1">
      <c r="C168" s="748" t="s">
        <v>2278</v>
      </c>
      <c r="K168" s="748" t="str">
        <f>'Part I-Project Information'!K139</f>
        <v>No</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5" customHeight="1"/>
    <row r="176" spans="1:16" ht="12.6" customHeight="1">
      <c r="B176" s="748" t="s">
        <v>3063</v>
      </c>
      <c r="C176" s="748" t="s">
        <v>2372</v>
      </c>
      <c r="I176" s="748" t="str">
        <f>'Part I-Project Information'!I147</f>
        <v>Yes</v>
      </c>
      <c r="J176" s="748" t="s">
        <v>1253</v>
      </c>
      <c r="L176" s="748">
        <f>'Part I-Project Information'!L147</f>
        <v>2026</v>
      </c>
      <c r="M176" s="748" t="s">
        <v>3471</v>
      </c>
      <c r="P176" s="748">
        <f>'Part I-Project Information'!P147</f>
        <v>5</v>
      </c>
    </row>
    <row r="177" spans="2:16" ht="1.95" customHeight="1"/>
    <row r="178" spans="2:16" ht="12.6" customHeight="1">
      <c r="B178" s="748" t="s">
        <v>1238</v>
      </c>
      <c r="C178" s="748" t="s">
        <v>2785</v>
      </c>
      <c r="I178" s="748" t="str">
        <f>'Part I-Project Information'!I149</f>
        <v>No</v>
      </c>
    </row>
    <row r="179" spans="2:16" ht="1.95" customHeight="1"/>
    <row r="180" spans="2:16" ht="12.6" customHeight="1">
      <c r="B180" s="748" t="s">
        <v>3212</v>
      </c>
      <c r="C180" s="748" t="s">
        <v>3055</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5" customHeight="1"/>
    <row r="185" spans="2:16" ht="13.2" customHeight="1">
      <c r="B185" s="748" t="s">
        <v>2762</v>
      </c>
      <c r="C185" s="748" t="s">
        <v>2373</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Yes</v>
      </c>
      <c r="L189" s="748" t="s">
        <v>2289</v>
      </c>
      <c r="P189" s="748" t="str">
        <f>'Part I-Project Information'!P160</f>
        <v>No</v>
      </c>
    </row>
    <row r="190" spans="2:16" ht="12.6" customHeight="1">
      <c r="C190" s="748" t="s">
        <v>2376</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t="str">
        <f>'Part I-Project Information'!I163</f>
        <v>No</v>
      </c>
    </row>
    <row r="193" spans="1:12" ht="1.95" customHeight="1"/>
    <row r="194" spans="1:12" ht="13.2"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3436</v>
      </c>
      <c r="I197" s="748" t="str">
        <f>'Part I-Project Information'!I168</f>
        <v>August 1st, 2013</v>
      </c>
    </row>
    <row r="198" spans="1:12" ht="1.95" customHeight="1"/>
    <row r="199" spans="1:12" ht="12" customHeight="1">
      <c r="A199" s="748" t="s">
        <v>2752</v>
      </c>
      <c r="C199" s="748" t="s">
        <v>879</v>
      </c>
      <c r="K199" s="748" t="s">
        <v>3381</v>
      </c>
      <c r="L199" s="748" t="s">
        <v>89</v>
      </c>
    </row>
    <row r="200" spans="1:12" ht="38.4" customHeight="1">
      <c r="A200" s="748">
        <f>'Part I-Project Information'!A171</f>
        <v>0</v>
      </c>
      <c r="K200" s="748">
        <f>'Part I-Project Information'!K171</f>
        <v>0</v>
      </c>
    </row>
    <row r="201" spans="1:12" ht="38.4" customHeight="1">
      <c r="A201" s="748">
        <f>'Part I-Project Information'!A172</f>
        <v>0</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2011-053 Hampton Court , , City of Cairo Development Authority County</v>
      </c>
    </row>
    <row r="206" spans="1:12" ht="12" customHeight="1"/>
    <row r="207" spans="1:12" ht="13.2" customHeight="1">
      <c r="A207" s="748" t="s">
        <v>950</v>
      </c>
      <c r="B207" s="748" t="s">
        <v>2913</v>
      </c>
    </row>
    <row r="208" spans="1:12" ht="8.4" customHeight="1"/>
    <row r="209" spans="2:17" ht="12.6" customHeight="1">
      <c r="B209" s="748" t="s">
        <v>3060</v>
      </c>
      <c r="C209" s="748" t="s">
        <v>2909</v>
      </c>
      <c r="H209" s="748" t="str">
        <f>'Part II-Development Team'!H5</f>
        <v>Hamton Court, L.P</v>
      </c>
      <c r="O209" s="748" t="s">
        <v>3067</v>
      </c>
      <c r="Q209" s="748" t="str">
        <f>'Part II-Development Team'!Q5</f>
        <v xml:space="preserve">John H. Collins  </v>
      </c>
    </row>
    <row r="210" spans="2:17" ht="12.6" customHeight="1">
      <c r="E210" s="748" t="s">
        <v>1641</v>
      </c>
      <c r="H210" s="748" t="str">
        <f>'Part II-Development Team'!H6</f>
        <v xml:space="preserve">203 West Church Street </v>
      </c>
      <c r="O210" s="748" t="s">
        <v>2775</v>
      </c>
      <c r="Q210" s="748" t="str">
        <f>'Part II-Development Team'!Q6</f>
        <v>President</v>
      </c>
    </row>
    <row r="211" spans="2:17" ht="12.6" customHeight="1">
      <c r="E211" s="748" t="s">
        <v>953</v>
      </c>
      <c r="H211" s="748" t="str">
        <f>'Part II-Development Team'!H7</f>
        <v xml:space="preserve">Fort Valley </v>
      </c>
      <c r="K211" s="748" t="s">
        <v>1254</v>
      </c>
      <c r="L211" s="748">
        <f>'Part II-Development Team'!L7</f>
        <v>0</v>
      </c>
      <c r="O211" s="748" t="s">
        <v>2834</v>
      </c>
      <c r="Q211" s="748">
        <f>'Part II-Development Team'!Q7</f>
        <v>4788257754</v>
      </c>
    </row>
    <row r="212" spans="2:17" ht="12.6" customHeight="1">
      <c r="E212" s="748" t="s">
        <v>2830</v>
      </c>
      <c r="H212" s="748" t="str">
        <f>'Part II-Development Team'!H8</f>
        <v>GA</v>
      </c>
      <c r="I212" s="748" t="s">
        <v>4039</v>
      </c>
      <c r="J212" s="748">
        <f>'Part II-Development Team'!J8</f>
        <v>310303731</v>
      </c>
      <c r="L212" s="748" t="s">
        <v>4040</v>
      </c>
      <c r="N212" s="748" t="str">
        <f>'Part II-Development Team'!N8</f>
        <v>GA District 2</v>
      </c>
      <c r="O212" s="748" t="s">
        <v>3056</v>
      </c>
      <c r="Q212" s="748">
        <f>'Part II-Development Team'!Q8</f>
        <v>7706174375</v>
      </c>
    </row>
    <row r="213" spans="2:17" ht="12.6" customHeight="1">
      <c r="E213" s="748" t="s">
        <v>3062</v>
      </c>
      <c r="H213" s="748">
        <f>'Part II-Development Team'!H9</f>
        <v>4788257754</v>
      </c>
      <c r="J213" s="748">
        <f>'Part II-Development Team'!J9</f>
        <v>0</v>
      </c>
      <c r="K213" s="748" t="s">
        <v>2833</v>
      </c>
      <c r="L213" s="748">
        <f>'Part II-Development Team'!L9</f>
        <v>4788250999</v>
      </c>
      <c r="N213" s="748" t="s">
        <v>3061</v>
      </c>
      <c r="O213" s="748" t="str">
        <f>'Part II-Development Team'!O9</f>
        <v>potemk1@bellsouth.net</v>
      </c>
    </row>
    <row r="214" spans="2:17" ht="13.2" customHeight="1">
      <c r="E214" s="748" t="s">
        <v>997</v>
      </c>
      <c r="L214" s="748" t="s">
        <v>1214</v>
      </c>
    </row>
    <row r="215" spans="2:17" ht="4.2" customHeight="1"/>
    <row r="216" spans="2:17" ht="13.2" customHeight="1">
      <c r="B216" s="748" t="s">
        <v>3063</v>
      </c>
      <c r="C216" s="748" t="s">
        <v>2910</v>
      </c>
      <c r="L216" s="748" t="s">
        <v>1971</v>
      </c>
      <c r="O216" s="748" t="s">
        <v>1972</v>
      </c>
    </row>
    <row r="217" spans="2:17" ht="4.2" customHeight="1"/>
    <row r="218" spans="2:17" ht="13.2" customHeight="1">
      <c r="C218" s="748" t="s">
        <v>3064</v>
      </c>
      <c r="D218" s="748" t="s">
        <v>3065</v>
      </c>
      <c r="L218" s="748" t="s">
        <v>1975</v>
      </c>
      <c r="O218" s="748" t="s">
        <v>1970</v>
      </c>
    </row>
    <row r="219" spans="2:17" ht="4.2" customHeight="1"/>
    <row r="220" spans="2:17" ht="12.6" customHeight="1">
      <c r="D220" s="748" t="s">
        <v>3213</v>
      </c>
      <c r="E220" s="748" t="s">
        <v>2911</v>
      </c>
      <c r="H220" s="748" t="str">
        <f>'Part II-Development Team'!H16</f>
        <v xml:space="preserve">Potemkin Hampton, L.L.C </v>
      </c>
      <c r="O220" s="748" t="s">
        <v>3067</v>
      </c>
      <c r="Q220" s="748" t="str">
        <f>'Part II-Development Team'!Q16</f>
        <v xml:space="preserve">John H. Collins </v>
      </c>
    </row>
    <row r="221" spans="2:17" ht="12.6" customHeight="1">
      <c r="E221" s="748" t="s">
        <v>1641</v>
      </c>
      <c r="H221" s="748" t="str">
        <f>'Part II-Development Team'!H17</f>
        <v xml:space="preserve">203 West Church Street </v>
      </c>
      <c r="O221" s="748" t="s">
        <v>2775</v>
      </c>
      <c r="Q221" s="748" t="str">
        <f>'Part II-Development Team'!Q17</f>
        <v xml:space="preserve">President </v>
      </c>
    </row>
    <row r="222" spans="2:17" ht="12.6" customHeight="1">
      <c r="E222" s="748" t="s">
        <v>953</v>
      </c>
      <c r="H222" s="748" t="str">
        <f>'Part II-Development Team'!H18</f>
        <v>Fort Valley</v>
      </c>
      <c r="O222" s="748" t="s">
        <v>2834</v>
      </c>
      <c r="Q222" s="748">
        <f>'Part II-Development Team'!Q18</f>
        <v>4788257754</v>
      </c>
    </row>
    <row r="223" spans="2:17" ht="12.6" customHeight="1">
      <c r="E223" s="748" t="s">
        <v>2830</v>
      </c>
      <c r="H223" s="748" t="str">
        <f>'Part II-Development Team'!H19</f>
        <v>GA</v>
      </c>
      <c r="I223" s="748" t="s">
        <v>4039</v>
      </c>
      <c r="J223" s="748">
        <f>'Part II-Development Team'!J19</f>
        <v>310303731</v>
      </c>
      <c r="L223" s="748" t="s">
        <v>4040</v>
      </c>
      <c r="N223" s="748" t="str">
        <f>'Part II-Development Team'!N19</f>
        <v>GA District 3</v>
      </c>
      <c r="O223" s="748" t="s">
        <v>3056</v>
      </c>
      <c r="Q223" s="748">
        <f>'Part II-Development Team'!Q19</f>
        <v>7706174375</v>
      </c>
    </row>
    <row r="224" spans="2:17" ht="12.6" customHeight="1">
      <c r="E224" s="748" t="s">
        <v>3062</v>
      </c>
      <c r="H224" s="748">
        <f>'Part II-Development Team'!H20</f>
        <v>4788257754</v>
      </c>
      <c r="J224" s="748">
        <f>'Part II-Development Team'!J20</f>
        <v>0</v>
      </c>
      <c r="K224" s="748" t="s">
        <v>2833</v>
      </c>
      <c r="L224" s="748">
        <f>'Part II-Development Team'!L20</f>
        <v>4788250999</v>
      </c>
      <c r="N224" s="748" t="s">
        <v>3061</v>
      </c>
      <c r="O224" s="748" t="str">
        <f>'Part II-Development Team'!O20</f>
        <v>potemk1@bellsouth.net</v>
      </c>
    </row>
    <row r="225" spans="3:17" ht="4.2"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2" customHeight="1"/>
    <row r="232" spans="3:17" ht="12.6" customHeight="1">
      <c r="D232" s="748" t="s">
        <v>2761</v>
      </c>
      <c r="E232" s="748" t="s">
        <v>2912</v>
      </c>
      <c r="H232" s="748">
        <f>'Part II-Development Team'!H28</f>
        <v>0</v>
      </c>
      <c r="O232" s="748" t="s">
        <v>3067</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2" customHeight="1"/>
    <row r="238" spans="3:17" ht="13.2" customHeight="1">
      <c r="C238" s="748" t="s">
        <v>3066</v>
      </c>
      <c r="D238" s="748" t="s">
        <v>2914</v>
      </c>
    </row>
    <row r="239" spans="3:17" ht="4.2" customHeight="1"/>
    <row r="240" spans="3:17" ht="12.6" customHeight="1">
      <c r="D240" s="748" t="s">
        <v>3213</v>
      </c>
      <c r="E240" s="748" t="s">
        <v>1239</v>
      </c>
      <c r="H240" s="748" t="str">
        <f>'Part II-Development Team'!H36</f>
        <v xml:space="preserve">Affordable Equity Partners </v>
      </c>
      <c r="O240" s="748" t="s">
        <v>3067</v>
      </c>
      <c r="Q240" s="748" t="str">
        <f>'Part II-Development Team'!Q36</f>
        <v xml:space="preserve">Jeffrey E. Smith </v>
      </c>
    </row>
    <row r="241" spans="3:17" ht="12.6" customHeight="1">
      <c r="E241" s="748" t="s">
        <v>1641</v>
      </c>
      <c r="H241" s="748" t="str">
        <f>'Part II-Development Team'!H37</f>
        <v>206 Peach Way</v>
      </c>
      <c r="O241" s="748" t="s">
        <v>2775</v>
      </c>
      <c r="Q241" s="748" t="str">
        <f>'Part II-Development Team'!Q37</f>
        <v>President</v>
      </c>
    </row>
    <row r="242" spans="3:17" ht="12.6" customHeight="1">
      <c r="E242" s="748" t="s">
        <v>953</v>
      </c>
      <c r="H242" s="748" t="str">
        <f>'Part II-Development Team'!H38</f>
        <v xml:space="preserve">Columbia </v>
      </c>
      <c r="O242" s="748" t="s">
        <v>2834</v>
      </c>
      <c r="Q242" s="748">
        <f>'Part II-Development Team'!Q38</f>
        <v>0</v>
      </c>
    </row>
    <row r="243" spans="3:17" ht="12.6" customHeight="1">
      <c r="E243" s="748" t="s">
        <v>2830</v>
      </c>
      <c r="H243" s="748" t="str">
        <f>'Part II-Development Team'!H39</f>
        <v>MO</v>
      </c>
      <c r="I243" s="748" t="s">
        <v>3354</v>
      </c>
      <c r="J243" s="748">
        <f>'Part II-Development Team'!J39</f>
        <v>652034905</v>
      </c>
      <c r="O243" s="748" t="s">
        <v>3056</v>
      </c>
      <c r="Q243" s="748">
        <f>'Part II-Development Team'!Q39</f>
        <v>5734248811</v>
      </c>
    </row>
    <row r="244" spans="3:17" ht="12.6" customHeight="1">
      <c r="E244" s="748" t="s">
        <v>3062</v>
      </c>
      <c r="H244" s="748">
        <f>'Part II-Development Team'!H40</f>
        <v>5734432021</v>
      </c>
      <c r="J244" s="748">
        <f>'Part II-Development Team'!J40</f>
        <v>0</v>
      </c>
      <c r="K244" s="748" t="s">
        <v>2833</v>
      </c>
      <c r="L244" s="748">
        <f>'Part II-Development Team'!L40</f>
        <v>5738747116</v>
      </c>
      <c r="N244" s="748" t="s">
        <v>3061</v>
      </c>
      <c r="O244" s="748" t="str">
        <f>'Part II-Development Team'!O40</f>
        <v>bkimes@jesmith.com</v>
      </c>
    </row>
    <row r="245" spans="3:17" ht="4.2" customHeight="1"/>
    <row r="246" spans="3:17" ht="12.6" customHeight="1">
      <c r="D246" s="748" t="s">
        <v>3214</v>
      </c>
      <c r="E246" s="748" t="s">
        <v>1240</v>
      </c>
      <c r="H246" s="748" t="str">
        <f>'Part II-Development Team'!H42</f>
        <v xml:space="preserve">Affordable Equity Partners </v>
      </c>
      <c r="O246" s="748" t="s">
        <v>3067</v>
      </c>
      <c r="Q246" s="748" t="str">
        <f>'Part II-Development Team'!Q42</f>
        <v>Jeffrey E. Smith</v>
      </c>
    </row>
    <row r="247" spans="3:17" ht="12.6" customHeight="1">
      <c r="E247" s="748" t="s">
        <v>1641</v>
      </c>
      <c r="H247" s="748" t="str">
        <f>'Part II-Development Team'!H43</f>
        <v xml:space="preserve">206 Peach Way </v>
      </c>
      <c r="O247" s="748" t="s">
        <v>2775</v>
      </c>
      <c r="Q247" s="748" t="str">
        <f>'Part II-Development Team'!Q43</f>
        <v>President</v>
      </c>
    </row>
    <row r="248" spans="3:17" ht="12.6" customHeight="1">
      <c r="E248" s="748" t="s">
        <v>953</v>
      </c>
      <c r="H248" s="748" t="str">
        <f>'Part II-Development Team'!H44</f>
        <v xml:space="preserve">Columbia </v>
      </c>
      <c r="O248" s="748" t="s">
        <v>2834</v>
      </c>
      <c r="Q248" s="748">
        <f>'Part II-Development Team'!Q44</f>
        <v>0</v>
      </c>
    </row>
    <row r="249" spans="3:17" ht="12.6" customHeight="1">
      <c r="E249" s="748" t="s">
        <v>2830</v>
      </c>
      <c r="H249" s="748" t="str">
        <f>'Part II-Development Team'!H45</f>
        <v>MO</v>
      </c>
      <c r="I249" s="748" t="s">
        <v>3354</v>
      </c>
      <c r="J249" s="748">
        <f>'Part II-Development Team'!J45</f>
        <v>652034905</v>
      </c>
      <c r="O249" s="748" t="s">
        <v>3056</v>
      </c>
      <c r="Q249" s="748">
        <f>'Part II-Development Team'!Q45</f>
        <v>5734248811</v>
      </c>
    </row>
    <row r="250" spans="3:17" ht="12.6" customHeight="1">
      <c r="E250" s="748" t="s">
        <v>3062</v>
      </c>
      <c r="H250" s="748">
        <f>'Part II-Development Team'!H46</f>
        <v>5734432021</v>
      </c>
      <c r="J250" s="748">
        <f>'Part II-Development Team'!J46</f>
        <v>0</v>
      </c>
      <c r="K250" s="748" t="s">
        <v>2833</v>
      </c>
      <c r="L250" s="748">
        <f>'Part II-Development Team'!L46</f>
        <v>5738747116</v>
      </c>
      <c r="N250" s="748" t="s">
        <v>3061</v>
      </c>
      <c r="O250" s="748" t="str">
        <f>'Part II-Development Team'!O46</f>
        <v>bkimes@jesmith.com</v>
      </c>
    </row>
    <row r="251" spans="3:17" ht="4.2" customHeight="1"/>
    <row r="252" spans="3:17" ht="13.2" customHeight="1">
      <c r="C252" s="748" t="s">
        <v>3823</v>
      </c>
      <c r="D252" s="748" t="s">
        <v>994</v>
      </c>
    </row>
    <row r="253" spans="3:17" ht="4.2" customHeight="1"/>
    <row r="254" spans="3:17" ht="12.6" customHeight="1">
      <c r="E254" s="748" t="s">
        <v>103</v>
      </c>
      <c r="H254" s="748">
        <f>'Part II-Development Team'!H50</f>
        <v>0</v>
      </c>
      <c r="O254" s="748" t="s">
        <v>3067</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2" customHeight="1"/>
    <row r="260" spans="1:17" ht="13.2" customHeight="1">
      <c r="A260" s="748" t="s">
        <v>1229</v>
      </c>
      <c r="B260" s="748" t="s">
        <v>995</v>
      </c>
    </row>
    <row r="261" spans="1:17" ht="9" customHeight="1"/>
    <row r="262" spans="1:17" ht="13.2" customHeight="1">
      <c r="B262" s="748" t="s">
        <v>3060</v>
      </c>
      <c r="C262" s="748" t="s">
        <v>375</v>
      </c>
      <c r="H262" s="748" t="str">
        <f>'Part II-Development Team'!H58</f>
        <v>Potemkin Development, Inc.</v>
      </c>
      <c r="O262" s="748" t="s">
        <v>3067</v>
      </c>
      <c r="Q262" s="748" t="str">
        <f>'Part II-Development Team'!Q58</f>
        <v xml:space="preserve">John Collins </v>
      </c>
    </row>
    <row r="263" spans="1:17" ht="13.2" customHeight="1">
      <c r="E263" s="748" t="s">
        <v>1641</v>
      </c>
      <c r="H263" s="748" t="str">
        <f>'Part II-Development Team'!H59</f>
        <v xml:space="preserve">203 West Church Street </v>
      </c>
      <c r="O263" s="748" t="s">
        <v>2775</v>
      </c>
      <c r="Q263" s="748" t="str">
        <f>'Part II-Development Team'!Q59</f>
        <v>President</v>
      </c>
    </row>
    <row r="264" spans="1:17" ht="13.2" customHeight="1">
      <c r="E264" s="748" t="s">
        <v>953</v>
      </c>
      <c r="H264" s="748" t="str">
        <f>'Part II-Development Team'!H60</f>
        <v xml:space="preserve">Fort Valley </v>
      </c>
      <c r="O264" s="748" t="s">
        <v>2834</v>
      </c>
      <c r="Q264" s="748">
        <f>'Part II-Development Team'!Q60</f>
        <v>4788257754</v>
      </c>
    </row>
    <row r="265" spans="1:17" ht="13.2" customHeight="1">
      <c r="E265" s="748" t="s">
        <v>2830</v>
      </c>
      <c r="H265" s="748" t="str">
        <f>'Part II-Development Team'!H61</f>
        <v>GA</v>
      </c>
      <c r="I265" s="748" t="s">
        <v>3354</v>
      </c>
      <c r="J265" s="748">
        <f>'Part II-Development Team'!J61</f>
        <v>310303731</v>
      </c>
      <c r="O265" s="748" t="s">
        <v>3056</v>
      </c>
      <c r="Q265" s="748">
        <f>'Part II-Development Team'!Q61</f>
        <v>7706174375</v>
      </c>
    </row>
    <row r="266" spans="1:17" ht="13.2" customHeight="1">
      <c r="E266" s="748" t="s">
        <v>3062</v>
      </c>
      <c r="H266" s="748">
        <f>'Part II-Development Team'!H62</f>
        <v>4788257754</v>
      </c>
      <c r="J266" s="748">
        <f>'Part II-Development Team'!J62</f>
        <v>0</v>
      </c>
      <c r="K266" s="748" t="s">
        <v>2833</v>
      </c>
      <c r="L266" s="748">
        <f>'Part II-Development Team'!L62</f>
        <v>4788250999</v>
      </c>
      <c r="N266" s="748" t="s">
        <v>3061</v>
      </c>
      <c r="O266" s="748" t="str">
        <f>'Part II-Development Team'!O62</f>
        <v>potemk1@bellsouth.net</v>
      </c>
    </row>
    <row r="267" spans="1:17" ht="6.6" customHeight="1"/>
    <row r="268" spans="1:17" ht="13.2" customHeight="1">
      <c r="B268" s="748" t="s">
        <v>3063</v>
      </c>
      <c r="C268" s="748" t="s">
        <v>376</v>
      </c>
      <c r="H268" s="748">
        <f>'Part II-Development Team'!H64</f>
        <v>0</v>
      </c>
      <c r="O268" s="748" t="s">
        <v>3067</v>
      </c>
      <c r="Q268" s="748">
        <f>'Part II-Development Team'!Q64</f>
        <v>0</v>
      </c>
    </row>
    <row r="269" spans="1:17" ht="13.2" customHeight="1">
      <c r="E269" s="748" t="s">
        <v>1641</v>
      </c>
      <c r="H269" s="748">
        <f>'Part II-Development Team'!H65</f>
        <v>0</v>
      </c>
      <c r="O269" s="748" t="s">
        <v>2775</v>
      </c>
      <c r="Q269" s="748">
        <f>'Part II-Development Team'!Q65</f>
        <v>0</v>
      </c>
    </row>
    <row r="270" spans="1:17" ht="13.2" customHeight="1">
      <c r="E270" s="748" t="s">
        <v>953</v>
      </c>
      <c r="H270" s="748">
        <f>'Part II-Development Team'!H66</f>
        <v>0</v>
      </c>
      <c r="O270" s="748" t="s">
        <v>2834</v>
      </c>
      <c r="Q270" s="748">
        <f>'Part II-Development Team'!Q66</f>
        <v>0</v>
      </c>
    </row>
    <row r="271" spans="1:17" ht="13.2" customHeight="1">
      <c r="E271" s="748" t="s">
        <v>2830</v>
      </c>
      <c r="H271" s="748">
        <f>'Part II-Development Team'!H67</f>
        <v>0</v>
      </c>
      <c r="I271" s="748" t="s">
        <v>3354</v>
      </c>
      <c r="J271" s="748">
        <f>'Part II-Development Team'!J67</f>
        <v>0</v>
      </c>
      <c r="O271" s="748" t="s">
        <v>3056</v>
      </c>
      <c r="Q271" s="748">
        <f>'Part II-Development Team'!Q67</f>
        <v>0</v>
      </c>
    </row>
    <row r="272" spans="1:17" ht="13.2"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2" customHeight="1">
      <c r="B274" s="748" t="s">
        <v>1238</v>
      </c>
      <c r="C274" s="748" t="s">
        <v>2279</v>
      </c>
      <c r="H274" s="748">
        <f>'Part II-Development Team'!H70</f>
        <v>0</v>
      </c>
      <c r="O274" s="748" t="s">
        <v>3067</v>
      </c>
      <c r="Q274" s="748">
        <f>'Part II-Development Team'!Q70</f>
        <v>0</v>
      </c>
    </row>
    <row r="275" spans="1:17" ht="13.2" customHeight="1">
      <c r="E275" s="748" t="s">
        <v>1641</v>
      </c>
      <c r="H275" s="748">
        <f>'Part II-Development Team'!H71</f>
        <v>0</v>
      </c>
      <c r="O275" s="748" t="s">
        <v>2775</v>
      </c>
      <c r="Q275" s="748">
        <f>'Part II-Development Team'!Q71</f>
        <v>0</v>
      </c>
    </row>
    <row r="276" spans="1:17" ht="13.2" customHeight="1">
      <c r="E276" s="748" t="s">
        <v>953</v>
      </c>
      <c r="H276" s="748">
        <f>'Part II-Development Team'!H72</f>
        <v>0</v>
      </c>
      <c r="O276" s="748" t="s">
        <v>2834</v>
      </c>
      <c r="Q276" s="748">
        <f>'Part II-Development Team'!Q72</f>
        <v>0</v>
      </c>
    </row>
    <row r="277" spans="1:17" ht="13.2" customHeight="1">
      <c r="E277" s="748" t="s">
        <v>2830</v>
      </c>
      <c r="H277" s="748">
        <f>'Part II-Development Team'!H73</f>
        <v>0</v>
      </c>
      <c r="I277" s="748" t="s">
        <v>3354</v>
      </c>
      <c r="J277" s="748">
        <f>'Part II-Development Team'!J73</f>
        <v>0</v>
      </c>
      <c r="O277" s="748" t="s">
        <v>3056</v>
      </c>
      <c r="Q277" s="748">
        <f>'Part II-Development Team'!Q73</f>
        <v>0</v>
      </c>
    </row>
    <row r="278" spans="1:17" ht="13.2"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2" customHeight="1">
      <c r="B280" s="748" t="s">
        <v>3212</v>
      </c>
      <c r="C280" s="748" t="s">
        <v>377</v>
      </c>
      <c r="H280" s="748">
        <f>'Part II-Development Team'!H76</f>
        <v>0</v>
      </c>
      <c r="O280" s="748" t="s">
        <v>3067</v>
      </c>
      <c r="Q280" s="748">
        <f>'Part II-Development Team'!Q76</f>
        <v>0</v>
      </c>
    </row>
    <row r="281" spans="1:17" ht="13.2" customHeight="1">
      <c r="E281" s="748" t="s">
        <v>1641</v>
      </c>
      <c r="H281" s="748">
        <f>'Part II-Development Team'!H77</f>
        <v>0</v>
      </c>
      <c r="O281" s="748" t="s">
        <v>2775</v>
      </c>
      <c r="Q281" s="748">
        <f>'Part II-Development Team'!Q77</f>
        <v>0</v>
      </c>
    </row>
    <row r="282" spans="1:17" ht="13.2" customHeight="1">
      <c r="E282" s="748" t="s">
        <v>953</v>
      </c>
      <c r="H282" s="748">
        <f>'Part II-Development Team'!H78</f>
        <v>0</v>
      </c>
      <c r="O282" s="748" t="s">
        <v>2834</v>
      </c>
      <c r="Q282" s="748">
        <f>'Part II-Development Team'!Q78</f>
        <v>0</v>
      </c>
    </row>
    <row r="283" spans="1:17" ht="13.2" customHeight="1">
      <c r="E283" s="748" t="s">
        <v>2830</v>
      </c>
      <c r="H283" s="748">
        <f>'Part II-Development Team'!H79</f>
        <v>0</v>
      </c>
      <c r="I283" s="748" t="s">
        <v>3354</v>
      </c>
      <c r="J283" s="748">
        <f>'Part II-Development Team'!J79</f>
        <v>0</v>
      </c>
      <c r="O283" s="748" t="s">
        <v>3056</v>
      </c>
      <c r="Q283" s="748">
        <f>'Part II-Development Team'!Q79</f>
        <v>0</v>
      </c>
    </row>
    <row r="284" spans="1:17" ht="13.2" customHeight="1">
      <c r="E284" s="748" t="s">
        <v>3062</v>
      </c>
      <c r="H284" s="748">
        <f>'Part II-Development Team'!H80</f>
        <v>0</v>
      </c>
      <c r="J284" s="748">
        <f>'Part II-Development Team'!J80</f>
        <v>0</v>
      </c>
      <c r="K284" s="748" t="s">
        <v>2833</v>
      </c>
      <c r="L284" s="748">
        <f>'Part II-Development Team'!L80</f>
        <v>0</v>
      </c>
      <c r="N284" s="748" t="s">
        <v>3061</v>
      </c>
      <c r="O284" s="748">
        <f>'Part II-Development Team'!O80</f>
        <v>0</v>
      </c>
    </row>
    <row r="285" spans="1:17" ht="13.2" customHeight="1"/>
    <row r="286" spans="1:17" ht="13.2" customHeight="1">
      <c r="A286" s="748" t="s">
        <v>1231</v>
      </c>
      <c r="B286" s="748" t="s">
        <v>378</v>
      </c>
    </row>
    <row r="287" spans="1:17" ht="9" customHeight="1"/>
    <row r="288" spans="1:17" ht="13.2" customHeight="1">
      <c r="B288" s="748" t="s">
        <v>3060</v>
      </c>
      <c r="C288" s="748" t="s">
        <v>379</v>
      </c>
      <c r="H288" s="748">
        <f>'Part II-Development Team'!H84</f>
        <v>0</v>
      </c>
      <c r="O288" s="748" t="s">
        <v>3067</v>
      </c>
      <c r="Q288" s="748">
        <f>'Part II-Development Team'!Q84</f>
        <v>0</v>
      </c>
    </row>
    <row r="289" spans="2:17" ht="13.2" customHeight="1">
      <c r="E289" s="748" t="s">
        <v>1641</v>
      </c>
      <c r="H289" s="748">
        <f>'Part II-Development Team'!H85</f>
        <v>0</v>
      </c>
      <c r="O289" s="748" t="s">
        <v>2775</v>
      </c>
      <c r="Q289" s="748">
        <f>'Part II-Development Team'!Q85</f>
        <v>0</v>
      </c>
    </row>
    <row r="290" spans="2:17" ht="13.2" customHeight="1">
      <c r="E290" s="748" t="s">
        <v>953</v>
      </c>
      <c r="H290" s="748">
        <f>'Part II-Development Team'!H86</f>
        <v>0</v>
      </c>
      <c r="O290" s="748" t="s">
        <v>2834</v>
      </c>
      <c r="Q290" s="748">
        <f>'Part II-Development Team'!Q86</f>
        <v>0</v>
      </c>
    </row>
    <row r="291" spans="2:17" ht="13.2" customHeight="1">
      <c r="E291" s="748" t="s">
        <v>2830</v>
      </c>
      <c r="H291" s="748">
        <f>'Part II-Development Team'!H87</f>
        <v>0</v>
      </c>
      <c r="I291" s="748" t="s">
        <v>3354</v>
      </c>
      <c r="J291" s="748">
        <f>'Part II-Development Team'!J87</f>
        <v>0</v>
      </c>
      <c r="O291" s="748" t="s">
        <v>3056</v>
      </c>
      <c r="Q291" s="748">
        <f>'Part II-Development Team'!Q87</f>
        <v>0</v>
      </c>
    </row>
    <row r="292" spans="2:17" ht="13.2"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2" customHeight="1">
      <c r="B294" s="748" t="s">
        <v>3063</v>
      </c>
      <c r="C294" s="748" t="s">
        <v>380</v>
      </c>
      <c r="H294" s="748" t="str">
        <f>'Part II-Development Team'!H90</f>
        <v>Magita Enterprises, Inc.</v>
      </c>
      <c r="O294" s="748" t="s">
        <v>3067</v>
      </c>
      <c r="Q294" s="748" t="str">
        <f>'Part II-Development Team'!Q90</f>
        <v>William B. Collins, III</v>
      </c>
    </row>
    <row r="295" spans="2:17" ht="13.2" customHeight="1">
      <c r="E295" s="748" t="s">
        <v>1641</v>
      </c>
      <c r="H295" s="748" t="str">
        <f>'Part II-Development Team'!H91</f>
        <v>203 West Church Street</v>
      </c>
      <c r="O295" s="748" t="s">
        <v>2775</v>
      </c>
      <c r="Q295" s="748" t="str">
        <f>'Part II-Development Team'!Q91</f>
        <v>President</v>
      </c>
    </row>
    <row r="296" spans="2:17" ht="13.2" customHeight="1">
      <c r="E296" s="748" t="s">
        <v>953</v>
      </c>
      <c r="H296" s="748" t="str">
        <f>'Part II-Development Team'!H92</f>
        <v>Fort Valley</v>
      </c>
      <c r="O296" s="748" t="s">
        <v>2834</v>
      </c>
      <c r="Q296" s="748">
        <f>'Part II-Development Team'!Q92</f>
        <v>4788257754</v>
      </c>
    </row>
    <row r="297" spans="2:17" ht="13.2" customHeight="1">
      <c r="E297" s="748" t="s">
        <v>2830</v>
      </c>
      <c r="H297" s="748" t="str">
        <f>'Part II-Development Team'!H93</f>
        <v>GA</v>
      </c>
      <c r="I297" s="748" t="s">
        <v>3354</v>
      </c>
      <c r="J297" s="748">
        <f>'Part II-Development Team'!J93</f>
        <v>310303731</v>
      </c>
      <c r="O297" s="748" t="s">
        <v>3056</v>
      </c>
      <c r="Q297" s="748">
        <f>'Part II-Development Team'!Q93</f>
        <v>4789559475</v>
      </c>
    </row>
    <row r="298" spans="2:17" ht="13.2" customHeight="1">
      <c r="E298" s="748" t="s">
        <v>3062</v>
      </c>
      <c r="H298" s="748">
        <f>'Part II-Development Team'!H94</f>
        <v>4788257754</v>
      </c>
      <c r="J298" s="748">
        <f>'Part II-Development Team'!J94</f>
        <v>0</v>
      </c>
      <c r="K298" s="748" t="s">
        <v>2833</v>
      </c>
      <c r="L298" s="748">
        <f>'Part II-Development Team'!L94</f>
        <v>4788250999</v>
      </c>
      <c r="N298" s="748" t="s">
        <v>3061</v>
      </c>
      <c r="O298" s="748" t="str">
        <f>'Part II-Development Team'!O94</f>
        <v>magitaenterprise@bellsouth.net</v>
      </c>
    </row>
    <row r="299" spans="2:17" ht="6.6" customHeight="1"/>
    <row r="300" spans="2:17" ht="13.2" customHeight="1">
      <c r="B300" s="748" t="s">
        <v>1238</v>
      </c>
      <c r="C300" s="748" t="s">
        <v>381</v>
      </c>
      <c r="H300" s="748" t="str">
        <f>'Part II-Development Team'!H96</f>
        <v xml:space="preserve">Fairway Management </v>
      </c>
      <c r="O300" s="748" t="s">
        <v>3067</v>
      </c>
      <c r="Q300" s="748" t="str">
        <f>'Part II-Development Team'!Q96</f>
        <v xml:space="preserve">Jeffrey E. Smith </v>
      </c>
    </row>
    <row r="301" spans="2:17" ht="13.2" customHeight="1">
      <c r="E301" s="748" t="s">
        <v>1641</v>
      </c>
      <c r="H301" s="748" t="str">
        <f>'Part II-Development Team'!H97</f>
        <v xml:space="preserve">206 Peach Way </v>
      </c>
      <c r="O301" s="748" t="s">
        <v>2775</v>
      </c>
      <c r="Q301" s="748" t="str">
        <f>'Part II-Development Team'!Q97</f>
        <v>President</v>
      </c>
    </row>
    <row r="302" spans="2:17" ht="13.2" customHeight="1">
      <c r="E302" s="748" t="s">
        <v>953</v>
      </c>
      <c r="H302" s="748" t="str">
        <f>'Part II-Development Team'!H98</f>
        <v xml:space="preserve">Columbia </v>
      </c>
      <c r="O302" s="748" t="s">
        <v>2834</v>
      </c>
      <c r="Q302" s="748">
        <f>'Part II-Development Team'!Q98</f>
        <v>0</v>
      </c>
    </row>
    <row r="303" spans="2:17" ht="13.2" customHeight="1">
      <c r="E303" s="748" t="s">
        <v>2830</v>
      </c>
      <c r="H303" s="748" t="str">
        <f>'Part II-Development Team'!H99</f>
        <v>MO</v>
      </c>
      <c r="I303" s="748" t="s">
        <v>3354</v>
      </c>
      <c r="J303" s="748">
        <f>'Part II-Development Team'!J99</f>
        <v>652034905</v>
      </c>
      <c r="O303" s="748" t="s">
        <v>3056</v>
      </c>
      <c r="Q303" s="748">
        <f>'Part II-Development Team'!Q99</f>
        <v>5734248811</v>
      </c>
    </row>
    <row r="304" spans="2:17" ht="13.2" customHeight="1">
      <c r="E304" s="748" t="s">
        <v>3062</v>
      </c>
      <c r="H304" s="748">
        <f>'Part II-Development Team'!H100</f>
        <v>5734432021</v>
      </c>
      <c r="J304" s="748">
        <f>'Part II-Development Team'!J100</f>
        <v>0</v>
      </c>
      <c r="K304" s="748" t="s">
        <v>2833</v>
      </c>
      <c r="L304" s="748">
        <f>'Part II-Development Team'!L100</f>
        <v>5738747116</v>
      </c>
      <c r="N304" s="748" t="s">
        <v>3061</v>
      </c>
      <c r="O304" s="748" t="str">
        <f>'Part II-Development Team'!O100</f>
        <v>bkimes@jesmith.com</v>
      </c>
    </row>
    <row r="305" spans="2:17" ht="6.6" customHeight="1"/>
    <row r="306" spans="2:17" ht="13.2" customHeight="1">
      <c r="B306" s="748" t="s">
        <v>3212</v>
      </c>
      <c r="C306" s="748" t="s">
        <v>382</v>
      </c>
      <c r="H306" s="748" t="str">
        <f>'Part II-Development Team'!H102</f>
        <v>Arnall, Golden, Gregory, L.L.P</v>
      </c>
      <c r="O306" s="748" t="s">
        <v>3067</v>
      </c>
      <c r="Q306" s="748" t="str">
        <f>'Part II-Development Team'!Q102</f>
        <v xml:space="preserve">Mark Gould </v>
      </c>
    </row>
    <row r="307" spans="2:17" ht="13.2" customHeight="1">
      <c r="E307" s="748" t="s">
        <v>1641</v>
      </c>
      <c r="H307" s="748" t="str">
        <f>'Part II-Development Team'!H103</f>
        <v xml:space="preserve">171 Seventeenth Street </v>
      </c>
      <c r="O307" s="748" t="s">
        <v>2775</v>
      </c>
      <c r="Q307" s="748" t="str">
        <f>'Part II-Development Team'!Q103</f>
        <v>Partner</v>
      </c>
    </row>
    <row r="308" spans="2:17" ht="13.2" customHeight="1">
      <c r="E308" s="748" t="s">
        <v>953</v>
      </c>
      <c r="H308" s="748" t="str">
        <f>'Part II-Development Team'!H104</f>
        <v xml:space="preserve">Atlanta </v>
      </c>
      <c r="O308" s="748" t="s">
        <v>2834</v>
      </c>
      <c r="Q308" s="748">
        <f>'Part II-Development Team'!Q104</f>
        <v>4048988244</v>
      </c>
    </row>
    <row r="309" spans="2:17" ht="13.2" customHeight="1">
      <c r="E309" s="748" t="s">
        <v>2830</v>
      </c>
      <c r="H309" s="748" t="str">
        <f>'Part II-Development Team'!H105</f>
        <v>GA</v>
      </c>
      <c r="I309" s="748" t="s">
        <v>3354</v>
      </c>
      <c r="J309" s="748">
        <f>'Part II-Development Team'!J105</f>
        <v>303631032</v>
      </c>
      <c r="O309" s="748" t="s">
        <v>3056</v>
      </c>
      <c r="Q309" s="748">
        <f>'Part II-Development Team'!Q105</f>
        <v>0</v>
      </c>
    </row>
    <row r="310" spans="2:17" ht="13.2" customHeight="1">
      <c r="E310" s="748" t="s">
        <v>3062</v>
      </c>
      <c r="H310" s="748">
        <f>'Part II-Development Team'!H106</f>
        <v>4048738152</v>
      </c>
      <c r="J310" s="748">
        <f>'Part II-Development Team'!J106</f>
        <v>0</v>
      </c>
      <c r="K310" s="748" t="s">
        <v>2833</v>
      </c>
      <c r="L310" s="748">
        <f>'Part II-Development Team'!L106</f>
        <v>4048738153</v>
      </c>
      <c r="N310" s="748" t="s">
        <v>3061</v>
      </c>
      <c r="O310" s="748" t="str">
        <f>'Part II-Development Team'!O106</f>
        <v>mark.gould@agg.com</v>
      </c>
    </row>
    <row r="311" spans="2:17" ht="6" customHeight="1"/>
    <row r="312" spans="2:17" ht="0.6" customHeight="1"/>
    <row r="313" spans="2:17" ht="13.2" customHeight="1">
      <c r="B313" s="748" t="s">
        <v>2762</v>
      </c>
      <c r="C313" s="748" t="s">
        <v>383</v>
      </c>
      <c r="H313" s="748" t="str">
        <f>'Part II-Development Team'!H109</f>
        <v xml:space="preserve">Habif, Arogeti &amp; Wayne </v>
      </c>
      <c r="O313" s="748" t="s">
        <v>3067</v>
      </c>
      <c r="Q313" s="748" t="str">
        <f>'Part II-Development Team'!Q109</f>
        <v xml:space="preserve">Frank Gudger </v>
      </c>
    </row>
    <row r="314" spans="2:17" ht="13.2" customHeight="1">
      <c r="E314" s="748" t="s">
        <v>1641</v>
      </c>
      <c r="H314" s="748" t="str">
        <f>'Part II-Development Team'!H110</f>
        <v>5 Concourse Parkway, Suite 100</v>
      </c>
      <c r="O314" s="748" t="s">
        <v>2775</v>
      </c>
      <c r="Q314" s="748" t="str">
        <f>'Part II-Development Team'!Q110</f>
        <v xml:space="preserve">Partner </v>
      </c>
    </row>
    <row r="315" spans="2:17" ht="13.2" customHeight="1">
      <c r="E315" s="748" t="s">
        <v>953</v>
      </c>
      <c r="H315" s="748" t="str">
        <f>'Part II-Development Team'!H111</f>
        <v>Atlanta</v>
      </c>
      <c r="O315" s="748" t="s">
        <v>2834</v>
      </c>
      <c r="Q315" s="748">
        <f>'Part II-Development Team'!Q111</f>
        <v>4048988244</v>
      </c>
    </row>
    <row r="316" spans="2:17" ht="13.2" customHeight="1">
      <c r="E316" s="748" t="s">
        <v>2830</v>
      </c>
      <c r="H316" s="748" t="str">
        <f>'Part II-Development Team'!H112</f>
        <v>GA</v>
      </c>
      <c r="I316" s="748" t="s">
        <v>3354</v>
      </c>
      <c r="J316" s="748">
        <f>'Part II-Development Team'!J112</f>
        <v>303286157</v>
      </c>
      <c r="O316" s="748" t="s">
        <v>3056</v>
      </c>
      <c r="Q316" s="748">
        <f>'Part II-Development Team'!Q112</f>
        <v>0</v>
      </c>
    </row>
    <row r="317" spans="2:17" ht="13.2" customHeight="1">
      <c r="E317" s="748" t="s">
        <v>3062</v>
      </c>
      <c r="H317" s="748">
        <f>'Part II-Development Team'!H113</f>
        <v>4048988244</v>
      </c>
      <c r="J317" s="748">
        <f>'Part II-Development Team'!J113</f>
        <v>0</v>
      </c>
      <c r="K317" s="748" t="s">
        <v>2833</v>
      </c>
      <c r="L317" s="748">
        <f>'Part II-Development Team'!L113</f>
        <v>4048763913</v>
      </c>
      <c r="N317" s="748" t="s">
        <v>3061</v>
      </c>
      <c r="O317" s="748" t="str">
        <f>'Part II-Development Team'!O113</f>
        <v>frank.gudger@hawcpa.com</v>
      </c>
    </row>
    <row r="318" spans="2:17" ht="6.6" customHeight="1"/>
    <row r="319" spans="2:17" ht="13.2" customHeight="1">
      <c r="B319" s="748" t="s">
        <v>2763</v>
      </c>
      <c r="C319" s="748" t="s">
        <v>384</v>
      </c>
      <c r="H319" s="748" t="str">
        <f>'Part II-Development Team'!H115</f>
        <v xml:space="preserve">Wallace Architects </v>
      </c>
      <c r="O319" s="748" t="s">
        <v>3067</v>
      </c>
      <c r="Q319" s="748" t="str">
        <f>'Part II-Development Team'!Q115</f>
        <v>Ben Moore</v>
      </c>
    </row>
    <row r="320" spans="2:17" ht="13.2" customHeight="1">
      <c r="E320" s="748" t="s">
        <v>1641</v>
      </c>
      <c r="H320" s="748" t="str">
        <f>'Part II-Development Team'!H116</f>
        <v>3615 W. Broadway</v>
      </c>
      <c r="O320" s="748" t="s">
        <v>2775</v>
      </c>
      <c r="Q320" s="748" t="str">
        <f>'Part II-Development Team'!Q116</f>
        <v xml:space="preserve">Project manager </v>
      </c>
    </row>
    <row r="321" spans="1:18" ht="13.2" customHeight="1">
      <c r="E321" s="748" t="s">
        <v>953</v>
      </c>
      <c r="H321" s="748" t="str">
        <f>'Part II-Development Team'!H117</f>
        <v xml:space="preserve">Sedalia </v>
      </c>
      <c r="O321" s="748" t="s">
        <v>2834</v>
      </c>
      <c r="Q321" s="748">
        <f>'Part II-Development Team'!Q117</f>
        <v>0</v>
      </c>
    </row>
    <row r="322" spans="1:18" ht="13.2" customHeight="1">
      <c r="E322" s="748" t="s">
        <v>2830</v>
      </c>
      <c r="H322" s="748" t="str">
        <f>'Part II-Development Team'!H118</f>
        <v>MO</v>
      </c>
      <c r="I322" s="748" t="s">
        <v>3354</v>
      </c>
      <c r="J322" s="748">
        <f>'Part II-Development Team'!J118</f>
        <v>653012479</v>
      </c>
      <c r="O322" s="748" t="s">
        <v>3056</v>
      </c>
      <c r="Q322" s="748">
        <f>'Part II-Development Team'!Q118</f>
        <v>5739997062</v>
      </c>
    </row>
    <row r="323" spans="1:18" ht="13.2" customHeight="1">
      <c r="E323" s="748" t="s">
        <v>3062</v>
      </c>
      <c r="H323" s="748">
        <f>'Part II-Development Team'!H119</f>
        <v>6608267000</v>
      </c>
      <c r="J323" s="748">
        <f>'Part II-Development Team'!J119</f>
        <v>0</v>
      </c>
      <c r="K323" s="748" t="s">
        <v>2833</v>
      </c>
      <c r="L323" s="748">
        <f>'Part II-Development Team'!L119</f>
        <v>6608267666</v>
      </c>
      <c r="N323" s="748" t="s">
        <v>3061</v>
      </c>
      <c r="O323" s="748" t="str">
        <f>'Part II-Development Team'!O119</f>
        <v>benm@wallacearchitects.com</v>
      </c>
    </row>
    <row r="324" spans="1:18" ht="13.2" customHeight="1"/>
    <row r="325" spans="1:18" ht="13.2" customHeight="1">
      <c r="A325" s="748" t="s">
        <v>2823</v>
      </c>
      <c r="B325" s="748" t="s">
        <v>365</v>
      </c>
    </row>
    <row r="326" spans="1:18" ht="6.6" customHeight="1"/>
    <row r="327" spans="1:18" ht="21.6" customHeight="1">
      <c r="A327" s="748" t="s">
        <v>976</v>
      </c>
      <c r="E327" s="748" t="s">
        <v>4041</v>
      </c>
      <c r="F327" s="748" t="s">
        <v>3601</v>
      </c>
      <c r="G327" s="748" t="s">
        <v>4042</v>
      </c>
      <c r="J327" s="748" t="s">
        <v>4043</v>
      </c>
      <c r="L327" s="748" t="s">
        <v>4044</v>
      </c>
      <c r="N327" s="748" t="s">
        <v>4045</v>
      </c>
      <c r="P327" s="748" t="s">
        <v>3602</v>
      </c>
      <c r="R327" s="748" t="s">
        <v>3603</v>
      </c>
    </row>
    <row r="328" spans="1:18" ht="21.6" customHeight="1"/>
    <row r="329" spans="1:18" ht="21.6" customHeight="1"/>
    <row r="330" spans="1:18" ht="21.6" customHeight="1"/>
    <row r="331" spans="1:18" ht="21.6" customHeight="1"/>
    <row r="332" spans="1:18" ht="13.95"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0.99980000000000002</v>
      </c>
    </row>
    <row r="336" spans="1:18" ht="13.95"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1E-4</v>
      </c>
    </row>
    <row r="337" spans="1:18" ht="13.95"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5"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3533</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5" customHeight="1">
      <c r="A343" s="748" t="s">
        <v>2280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 xml:space="preserve">There is an identity of interest between the contractor, developer &amp; general partner. There is also an identity of interest between the Federal limited partner and state limited partner. However, there is NO identity of interest between the developer, general partner &amp; contractor on one hand and either of the limited partners on the other. </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2011-053 Hampton Court , Hampton, Henry County</v>
      </c>
    </row>
    <row r="356" spans="1:16">
      <c r="A356" s="748" t="s">
        <v>950</v>
      </c>
      <c r="B356" s="748" t="s">
        <v>3771</v>
      </c>
    </row>
    <row r="358" spans="1:16">
      <c r="B358" s="748" t="str">
        <f>'Part III A-Sources of Funds'!B5</f>
        <v>Yes</v>
      </c>
      <c r="C358" s="748" t="s">
        <v>3653</v>
      </c>
      <c r="E358" s="748">
        <f>'Part III A-Sources of Funds'!E5</f>
        <v>0</v>
      </c>
      <c r="F358" s="748" t="s">
        <v>1980</v>
      </c>
      <c r="J358" s="748">
        <f>'Part III A-Sources of Funds'!J5</f>
        <v>0</v>
      </c>
      <c r="M358" s="748">
        <f>'Part III A-Sources of Funds'!M5</f>
        <v>0</v>
      </c>
      <c r="N358" s="748" t="s">
        <v>845</v>
      </c>
    </row>
    <row r="359" spans="1:16">
      <c r="B359" s="748">
        <f>'Part III A-Sources of Funds'!B6</f>
        <v>0</v>
      </c>
      <c r="C359" s="748" t="s">
        <v>2835</v>
      </c>
      <c r="E359" s="748">
        <f>'Part III A-Sources of Funds'!E6</f>
        <v>0</v>
      </c>
      <c r="F359" s="748" t="s">
        <v>3312</v>
      </c>
      <c r="J359" s="748">
        <f>'Part III A-Sources of Funds'!J6</f>
        <v>0</v>
      </c>
      <c r="K359" s="748" t="s">
        <v>846</v>
      </c>
      <c r="M359" s="748">
        <f>'Part III A-Sources of Funds'!M6</f>
        <v>0</v>
      </c>
      <c r="N359" s="748" t="s">
        <v>844</v>
      </c>
    </row>
    <row r="360" spans="1:16">
      <c r="B360" s="748">
        <f>'Part III A-Sources of Funds'!B7</f>
        <v>0</v>
      </c>
      <c r="C360" s="748" t="s">
        <v>2836</v>
      </c>
      <c r="E360" s="748">
        <f>'Part III A-Sources of Funds'!E7</f>
        <v>0</v>
      </c>
      <c r="F360" s="748" t="s">
        <v>3311</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3915</v>
      </c>
      <c r="E361" s="748">
        <f>'Part III A-Sources of Funds'!E8</f>
        <v>0</v>
      </c>
      <c r="F361" s="748" t="s">
        <v>3916</v>
      </c>
      <c r="H361" s="748">
        <f>'Part III A-Sources of Funds'!H8</f>
        <v>0</v>
      </c>
      <c r="I361" s="748" t="s">
        <v>3654</v>
      </c>
      <c r="J361" s="748">
        <f>'Part III A-Sources of Funds'!J8</f>
        <v>0</v>
      </c>
      <c r="K361" s="748" t="s">
        <v>874</v>
      </c>
      <c r="M361" s="748">
        <f>'Part III A-Sources of Funds'!M8</f>
        <v>0</v>
      </c>
      <c r="N361" s="748" t="s">
        <v>3232</v>
      </c>
    </row>
    <row r="362" spans="1:16">
      <c r="B362" s="748" t="s">
        <v>310</v>
      </c>
    </row>
    <row r="364" spans="1:16">
      <c r="A364" s="748" t="s">
        <v>1229</v>
      </c>
      <c r="B364" s="748" t="s">
        <v>3495</v>
      </c>
    </row>
    <row r="366" spans="1:16">
      <c r="B366" s="748" t="s">
        <v>2927</v>
      </c>
      <c r="H366" s="748" t="s">
        <v>1997</v>
      </c>
      <c r="L366" s="748" t="s">
        <v>3068</v>
      </c>
      <c r="N366" s="748" t="s">
        <v>2257</v>
      </c>
      <c r="P366" s="748" t="s">
        <v>2536</v>
      </c>
    </row>
    <row r="367" spans="1:16">
      <c r="B367" s="748" t="s">
        <v>2347</v>
      </c>
      <c r="H367" s="748" t="str">
        <f>'Part III A-Sources of Funds'!H14</f>
        <v>Sterling Bank</v>
      </c>
      <c r="L367" s="748">
        <f>'Part III A-Sources of Funds'!L14</f>
        <v>5934651</v>
      </c>
      <c r="N367" s="748">
        <f>'Part III A-Sources of Funds'!N14</f>
        <v>6.5000000000000002E-2</v>
      </c>
      <c r="P367" s="748">
        <f>'Part III A-Sources of Funds'!P14</f>
        <v>18</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f>'Part III A-Sources of Funds'!H20</f>
        <v>0</v>
      </c>
      <c r="L373" s="748">
        <f>'Part III A-Sources of Funds'!L20</f>
        <v>1330000</v>
      </c>
    </row>
    <row r="374" spans="1:17">
      <c r="B374" s="748" t="s">
        <v>1385</v>
      </c>
      <c r="H374" s="748">
        <f>'Part III A-Sources of Funds'!H21</f>
        <v>0</v>
      </c>
      <c r="L374" s="748">
        <f>'Part III A-Sources of Funds'!L21</f>
        <v>475000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7739651</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7739651</v>
      </c>
    </row>
    <row r="380" spans="1:17">
      <c r="B380" s="748" t="s">
        <v>3261</v>
      </c>
      <c r="L380" s="748">
        <f>L378-L379</f>
        <v>0</v>
      </c>
    </row>
    <row r="382" spans="1:17">
      <c r="A382" s="748" t="s">
        <v>1231</v>
      </c>
      <c r="B382" s="748" t="s">
        <v>1382</v>
      </c>
    </row>
    <row r="383" spans="1:17">
      <c r="J383" s="748" t="s">
        <v>3195</v>
      </c>
      <c r="K383" s="748" t="s">
        <v>1995</v>
      </c>
      <c r="L383" s="748" t="s">
        <v>2000</v>
      </c>
      <c r="M383" s="748" t="s">
        <v>40</v>
      </c>
      <c r="Q383" s="748" t="s">
        <v>3492</v>
      </c>
    </row>
    <row r="384" spans="1:17">
      <c r="B384" s="748" t="s">
        <v>2927</v>
      </c>
      <c r="E384" s="748" t="s">
        <v>1997</v>
      </c>
      <c r="H384" s="748" t="s">
        <v>719</v>
      </c>
      <c r="J384" s="748" t="s">
        <v>2843</v>
      </c>
      <c r="K384" s="748" t="s">
        <v>3332</v>
      </c>
      <c r="L384" s="748" t="s">
        <v>3332</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0.1742384795626139</v>
      </c>
      <c r="E390" s="748" t="str">
        <f>'Part III A-Sources of Funds'!E37</f>
        <v>Potemkin Development-DDF</v>
      </c>
      <c r="H390" s="748">
        <f>'Part III A-Sources of Funds'!H37</f>
        <v>192744</v>
      </c>
      <c r="J390" s="748">
        <f>'Part III A-Sources of Funds'!J37</f>
        <v>0</v>
      </c>
      <c r="K390" s="748">
        <f>'Part III A-Sources of Funds'!K37</f>
        <v>0</v>
      </c>
      <c r="L390" s="748">
        <f>'Part III A-Sources of Funds'!L37</f>
        <v>0</v>
      </c>
      <c r="M390" s="748" t="str">
        <f>'Part III A-Sources of Funds'!M37</f>
        <v/>
      </c>
      <c r="O390" s="748" t="str">
        <f>'Part III A-Sources of Funds'!O37</f>
        <v>Cash Flow</v>
      </c>
      <c r="Q390" s="748">
        <f>'Part III A-Sources of Funds'!Q37</f>
        <v>0</v>
      </c>
    </row>
    <row r="391" spans="2:19">
      <c r="B391" s="748" t="s">
        <v>3333</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3865</v>
      </c>
    </row>
    <row r="393" spans="2:19">
      <c r="B393" s="748" t="s">
        <v>1384</v>
      </c>
      <c r="E393" s="748" t="str">
        <f>'Part III A-Sources of Funds'!E40</f>
        <v>Affordable Equity Partners</v>
      </c>
      <c r="H393" s="748">
        <f>'Part III A-Sources of Funds'!H40</f>
        <v>6650000</v>
      </c>
      <c r="J393" s="748">
        <f>'Part IV-Uses of Funds'!$J$165*10*'Part IV-Uses of Funds'!$N$158</f>
        <v>6650000</v>
      </c>
      <c r="L393" s="748">
        <f>H393-J393</f>
        <v>0</v>
      </c>
      <c r="M393" s="748" t="s">
        <v>2537</v>
      </c>
      <c r="S393" s="748">
        <f>H393/H403</f>
        <v>0.72143465906625304</v>
      </c>
    </row>
    <row r="394" spans="2:19">
      <c r="B394" s="748" t="s">
        <v>1385</v>
      </c>
      <c r="E394" s="748" t="str">
        <f>'Part III A-Sources of Funds'!E41</f>
        <v>Affordable Equity Partners</v>
      </c>
      <c r="H394" s="748">
        <f>'Part III A-Sources of Funds'!H41</f>
        <v>2375000</v>
      </c>
      <c r="J394" s="748">
        <f>'Part IV-Uses of Funds'!$J$165*10*'Part IV-Uses of Funds'!$Q$158</f>
        <v>2375000</v>
      </c>
      <c r="L394" s="748">
        <f>H394-J394</f>
        <v>0</v>
      </c>
      <c r="S394" s="748">
        <f>H394/H403</f>
        <v>0.25765523538080465</v>
      </c>
    </row>
    <row r="395" spans="2:19">
      <c r="B395" s="748" t="s">
        <v>2120</v>
      </c>
      <c r="E395" s="748">
        <f>'Part III A-Sources of Funds'!E42</f>
        <v>0</v>
      </c>
      <c r="H395" s="748">
        <f>'Part III A-Sources of Funds'!H42</f>
        <v>0</v>
      </c>
      <c r="M395" s="748" t="s">
        <v>3022</v>
      </c>
      <c r="N395" s="748" t="s">
        <v>3023</v>
      </c>
      <c r="O395" s="748">
        <v>8</v>
      </c>
      <c r="P395" s="748">
        <v>9</v>
      </c>
      <c r="Q395" s="748">
        <v>10</v>
      </c>
      <c r="S395" s="748">
        <f>SUM(S393:S394)</f>
        <v>0.97908989444705763</v>
      </c>
    </row>
    <row r="396" spans="2:19">
      <c r="B396" s="748" t="s">
        <v>824</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9217744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9217744</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2011-053 Hampton Court , Hampton, Henry County</v>
      </c>
    </row>
    <row r="415" spans="1:17" ht="10.95" customHeight="1"/>
    <row r="416" spans="1:17" ht="14.4"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745</v>
      </c>
      <c r="C419" s="748">
        <v>0</v>
      </c>
      <c r="D419" s="748" t="s">
        <v>746</v>
      </c>
    </row>
    <row r="420" spans="1:5">
      <c r="B420" s="748" t="s">
        <v>3752</v>
      </c>
      <c r="C420" s="748">
        <f>'Part III B-USDA 538 Loan'!C7</f>
        <v>0</v>
      </c>
      <c r="D420" s="748" t="s">
        <v>2659</v>
      </c>
    </row>
    <row r="421" spans="1:5" ht="13.2" customHeight="1">
      <c r="A421" s="748" t="s">
        <v>3740</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5" customHeight="1"/>
    <row r="427" spans="1:5" ht="12.6" customHeight="1">
      <c r="A427" s="748" t="s">
        <v>143</v>
      </c>
    </row>
    <row r="428" spans="1:5" ht="5.4" customHeight="1"/>
    <row r="429" spans="1:5" ht="13.2"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2011-053 Hampton Court , Hampton, Henry County</v>
      </c>
      <c r="G471" s="748" t="str">
        <f>CONCATENATE('Part I-Project Information'!$O$4," ",'Part I-Project Information'!$F$22,", ",'Part I-Project Information'!$F$24,", ",'Part I-Project Information'!$J$25," County")</f>
        <v>2011-053 Hampton Court , Hampton, Henry County</v>
      </c>
    </row>
    <row r="472" spans="1:12">
      <c r="A472" s="748" t="s">
        <v>3744</v>
      </c>
      <c r="G472" s="748" t="s">
        <v>3744</v>
      </c>
    </row>
    <row r="473" spans="1:12" ht="6" customHeight="1"/>
    <row r="474" spans="1:12">
      <c r="A474" s="748" t="s">
        <v>3745</v>
      </c>
      <c r="B474" s="748" t="s">
        <v>3746</v>
      </c>
      <c r="C474" s="748" t="s">
        <v>1994</v>
      </c>
      <c r="D474" s="748" t="s">
        <v>3747</v>
      </c>
      <c r="E474" s="748" t="s">
        <v>3748</v>
      </c>
      <c r="F474" s="748" t="s">
        <v>3754</v>
      </c>
      <c r="G474" s="748" t="s">
        <v>3745</v>
      </c>
      <c r="H474" s="748" t="s">
        <v>3746</v>
      </c>
      <c r="I474" s="748" t="s">
        <v>1994</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2011-053 Hampton Court , Hampton, Henry County</v>
      </c>
    </row>
    <row r="961" spans="1:5" ht="15.6" customHeight="1">
      <c r="A961" s="748" t="s">
        <v>278</v>
      </c>
    </row>
    <row r="963" spans="1:5" ht="13.2" customHeight="1">
      <c r="A963" s="748" t="s">
        <v>3386</v>
      </c>
      <c r="D963" s="748">
        <f>'Part III C-HUD Insured Loan'!D5</f>
        <v>0</v>
      </c>
      <c r="E963" s="748" t="s">
        <v>1552</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2741</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3385</v>
      </c>
      <c r="F984" s="748" t="s">
        <v>3385</v>
      </c>
    </row>
    <row r="985" spans="1:6">
      <c r="A985" s="748" t="s">
        <v>3754</v>
      </c>
      <c r="B985" s="748" t="s">
        <v>1646</v>
      </c>
      <c r="D985" s="748" t="s">
        <v>3754</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2011-053 Hampton Court , Hampton, Henry County</v>
      </c>
    </row>
    <row r="1009" spans="1:6">
      <c r="A1009" s="748" t="s">
        <v>3744</v>
      </c>
    </row>
    <row r="1010" spans="1:6" ht="5.4" customHeight="1"/>
    <row r="1011" spans="1:6">
      <c r="A1011" s="748" t="s">
        <v>3745</v>
      </c>
      <c r="B1011" s="748" t="s">
        <v>3746</v>
      </c>
      <c r="C1011" s="748" t="s">
        <v>1994</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2011-053 Hampton Court , ,  County</v>
      </c>
    </row>
    <row r="1498" spans="1:19" ht="4.95" customHeight="1"/>
    <row r="1499" spans="1:19" ht="15" customHeight="1">
      <c r="A1499" s="748" t="s">
        <v>358</v>
      </c>
    </row>
    <row r="1500" spans="1:19" ht="1.95"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2" customHeight="1">
      <c r="B1503" s="748" t="s">
        <v>116</v>
      </c>
      <c r="O1503" s="748" t="str">
        <f>B1503</f>
        <v>PRE-DEVELOPMENT COSTS</v>
      </c>
    </row>
    <row r="1504" spans="1:19" ht="12.6" customHeight="1">
      <c r="B1504" s="748" t="s">
        <v>3079</v>
      </c>
      <c r="G1504" s="748">
        <f>'Part IV-Uses of Funds'!G8</f>
        <v>3000</v>
      </c>
      <c r="J1504" s="748">
        <f>'Part IV-Uses of Funds'!J8</f>
        <v>3000</v>
      </c>
      <c r="M1504" s="748">
        <f>'Part IV-Uses of Funds'!M8</f>
        <v>0</v>
      </c>
      <c r="P1504" s="748">
        <f>'Part IV-Uses of Funds'!P8</f>
        <v>0</v>
      </c>
      <c r="S1504" s="748">
        <f>'Part IV-Uses of Funds'!S8</f>
        <v>0</v>
      </c>
    </row>
    <row r="1505" spans="1:21" ht="12.6" customHeight="1">
      <c r="B1505" s="748" t="s">
        <v>671</v>
      </c>
      <c r="G1505" s="748">
        <f>'Part IV-Uses of Funds'!G9</f>
        <v>6700</v>
      </c>
      <c r="J1505" s="748">
        <f>'Part IV-Uses of Funds'!J9</f>
        <v>6700</v>
      </c>
      <c r="M1505" s="748">
        <f>'Part IV-Uses of Funds'!M9</f>
        <v>0</v>
      </c>
      <c r="P1505" s="748">
        <f>'Part IV-Uses of Funds'!P9</f>
        <v>0</v>
      </c>
      <c r="S1505" s="748">
        <f>'Part IV-Uses of Funds'!S9</f>
        <v>0</v>
      </c>
    </row>
    <row r="1506" spans="1:21" ht="12.6" customHeight="1">
      <c r="B1506" s="748" t="s">
        <v>717</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718</v>
      </c>
      <c r="G1507" s="748">
        <f>'Part IV-Uses of Funds'!G11</f>
        <v>9500</v>
      </c>
      <c r="J1507" s="748">
        <f>'Part IV-Uses of Funds'!J11</f>
        <v>9500</v>
      </c>
      <c r="M1507" s="748">
        <f>'Part IV-Uses of Funds'!M11</f>
        <v>0</v>
      </c>
      <c r="P1507" s="748">
        <f>'Part IV-Uses of Funds'!P11</f>
        <v>0</v>
      </c>
      <c r="S1507" s="748">
        <f>'Part IV-Uses of Funds'!S11</f>
        <v>0</v>
      </c>
    </row>
    <row r="1508" spans="1:21" ht="12.6" customHeight="1">
      <c r="B1508" s="748" t="s">
        <v>3780</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10138</v>
      </c>
      <c r="J1509" s="748">
        <f>'Part IV-Uses of Funds'!J13</f>
        <v>10138</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Third Party Reviews and Inspections</v>
      </c>
      <c r="G1510" s="748">
        <f>'Part IV-Uses of Funds'!G14</f>
        <v>15000</v>
      </c>
      <c r="J1510" s="748">
        <f>'Part IV-Uses of Funds'!J14</f>
        <v>15000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65338</v>
      </c>
      <c r="J1513" s="748">
        <f>SUM(J1504:K1512)</f>
        <v>65338</v>
      </c>
      <c r="M1513" s="748">
        <f>SUM(M1504:N1512)</f>
        <v>0</v>
      </c>
      <c r="P1513" s="748">
        <f>SUM(P1504:Q1512)</f>
        <v>0</v>
      </c>
      <c r="S1513" s="748">
        <f>SUM(S1504:T1512)</f>
        <v>0</v>
      </c>
    </row>
    <row r="1514" spans="1:21" ht="13.2" customHeight="1">
      <c r="B1514" s="748" t="s">
        <v>3306</v>
      </c>
      <c r="O1514" s="748" t="str">
        <f>B1514</f>
        <v>ACQUISITION</v>
      </c>
    </row>
    <row r="1515" spans="1:21" ht="12.6" customHeight="1">
      <c r="B1515" s="748" t="s">
        <v>3307</v>
      </c>
      <c r="G1515" s="748">
        <f>'Part IV-Uses of Funds'!G19</f>
        <v>440367</v>
      </c>
      <c r="S1515" s="748">
        <f>'Part IV-Uses of Funds'!S19</f>
        <v>440367</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440367</v>
      </c>
      <c r="M1519" s="748">
        <f>SUM(M1517:N1518)</f>
        <v>0</v>
      </c>
      <c r="S1519" s="748">
        <f>SUM(S1515:T1518)</f>
        <v>440367</v>
      </c>
    </row>
    <row r="1520" spans="1:21" ht="13.2" customHeight="1">
      <c r="B1520" s="748" t="s">
        <v>1751</v>
      </c>
      <c r="O1520" s="748" t="str">
        <f>B1520</f>
        <v>LAND IMPROVEMENTS</v>
      </c>
    </row>
    <row r="1521" spans="2:19" ht="12.6" customHeight="1">
      <c r="B1521" s="748" t="s">
        <v>1752</v>
      </c>
      <c r="G1521" s="748">
        <f>'Part IV-Uses of Funds'!G25</f>
        <v>1148000</v>
      </c>
      <c r="J1521" s="748">
        <f>'Part IV-Uses of Funds'!J25</f>
        <v>1148000</v>
      </c>
      <c r="M1521" s="748">
        <f>'Part IV-Uses of Funds'!M25</f>
        <v>0</v>
      </c>
      <c r="P1521" s="748">
        <f>'Part IV-Uses of Funds'!P25</f>
        <v>0</v>
      </c>
      <c r="S1521" s="748">
        <f>'Part IV-Uses of Funds'!S25</f>
        <v>0</v>
      </c>
    </row>
    <row r="1522" spans="2:19" ht="12.6" customHeight="1">
      <c r="B1522" s="748" t="s">
        <v>1753</v>
      </c>
      <c r="G1522" s="748">
        <f>'Part IV-Uses of Funds'!G26</f>
        <v>9800</v>
      </c>
      <c r="J1522" s="748">
        <f>'Part IV-Uses of Funds'!J26</f>
        <v>0</v>
      </c>
      <c r="S1522" s="748">
        <f>'Part IV-Uses of Funds'!S26</f>
        <v>9800</v>
      </c>
    </row>
    <row r="1523" spans="2:19" ht="12.6" customHeight="1">
      <c r="F1523" s="748" t="s">
        <v>249</v>
      </c>
      <c r="G1523" s="748">
        <f>SUM(G1521:H1522)</f>
        <v>1157800</v>
      </c>
      <c r="J1523" s="748">
        <f>SUM(J1521:K1522)</f>
        <v>1148000</v>
      </c>
      <c r="M1523" s="748">
        <f>M1521</f>
        <v>0</v>
      </c>
      <c r="P1523" s="748">
        <f>P1521</f>
        <v>0</v>
      </c>
      <c r="S1523" s="748">
        <f>SUM(S1521:T1522)</f>
        <v>9800</v>
      </c>
    </row>
    <row r="1524" spans="2:19" ht="13.2" customHeight="1">
      <c r="B1524" s="748" t="s">
        <v>1754</v>
      </c>
      <c r="O1524" s="748" t="str">
        <f>B1524</f>
        <v>STRUCTURES</v>
      </c>
    </row>
    <row r="1525" spans="2:19" ht="12.6" customHeight="1">
      <c r="B1525" s="748" t="s">
        <v>1755</v>
      </c>
      <c r="G1525" s="748">
        <f>'Part IV-Uses of Funds'!G29</f>
        <v>3783000</v>
      </c>
      <c r="J1525" s="748">
        <f>'Part IV-Uses of Funds'!J29</f>
        <v>3783000</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3783000</v>
      </c>
      <c r="J1528" s="748">
        <f>SUM(J1525:K1527)</f>
        <v>3783000</v>
      </c>
      <c r="M1528" s="748">
        <f>SUM(M1525:N1527)</f>
        <v>0</v>
      </c>
      <c r="P1528" s="748">
        <f>SUM(P1525:Q1527)</f>
        <v>0</v>
      </c>
      <c r="S1528" s="748">
        <f>SUM(S1525:T1527)</f>
        <v>0</v>
      </c>
    </row>
    <row r="1529" spans="2:19" ht="13.2"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296448</v>
      </c>
      <c r="J1530" s="748">
        <f>'Part IV-Uses of Funds'!J34</f>
        <v>296448</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395264</v>
      </c>
      <c r="J1531" s="748">
        <f>'Part IV-Uses of Funds'!J35</f>
        <v>395264</v>
      </c>
      <c r="M1531" s="748">
        <f>'Part IV-Uses of Funds'!M35</f>
        <v>0</v>
      </c>
      <c r="P1531" s="748">
        <f>'Part IV-Uses of Funds'!P35</f>
        <v>0</v>
      </c>
      <c r="S1531" s="748">
        <f>'Part IV-Uses of Funds'!S35</f>
        <v>0</v>
      </c>
    </row>
    <row r="1532" spans="2:19" ht="12.6" customHeight="1">
      <c r="B1532" s="748" t="s">
        <v>3131</v>
      </c>
      <c r="F1532" s="748" t="s">
        <v>249</v>
      </c>
      <c r="G1532" s="748">
        <f>SUM(G1530:H1531)</f>
        <v>691712</v>
      </c>
      <c r="J1532" s="748">
        <f>SUM(J1530:K1531)</f>
        <v>691712</v>
      </c>
      <c r="M1532" s="748">
        <f>SUM(M1530:N1531)</f>
        <v>0</v>
      </c>
      <c r="P1532" s="748">
        <f>SUM(P1530:Q1531)</f>
        <v>0</v>
      </c>
      <c r="S1532" s="748">
        <f>SUM(S1530:T1531)</f>
        <v>0</v>
      </c>
    </row>
    <row r="1533" spans="2:19" ht="6" customHeight="1"/>
    <row r="1534" spans="2:19" ht="12.6" customHeight="1">
      <c r="B1534" s="748" t="s">
        <v>1760</v>
      </c>
      <c r="D1534" s="748">
        <f>B1535/'Part VI-Revenues &amp; Expenses'!$M$63</f>
        <v>93875.199999999997</v>
      </c>
      <c r="F1534" s="748" t="s">
        <v>2110</v>
      </c>
    </row>
    <row r="1535" spans="2:19" ht="12.6" customHeight="1">
      <c r="B1535" s="748">
        <f>G1523+G1528+G1532</f>
        <v>5632512</v>
      </c>
      <c r="D1535" s="748">
        <f>B1535/'Part VI-Revenues &amp; Expenses'!$M$98</f>
        <v>78.229333333333329</v>
      </c>
      <c r="F1535" s="748" t="s">
        <v>1337</v>
      </c>
    </row>
    <row r="1536" spans="2:19" ht="6" customHeight="1"/>
    <row r="1537" spans="1:21" ht="13.2" customHeight="1">
      <c r="B1537" s="748" t="s">
        <v>1758</v>
      </c>
      <c r="O1537" s="748" t="str">
        <f>B1537</f>
        <v>CONSTRUCTION CONTINGENCY</v>
      </c>
    </row>
    <row r="1538" spans="1:21" ht="12.6" customHeight="1">
      <c r="B1538" s="748" t="s">
        <v>3038</v>
      </c>
      <c r="F1538" s="748" t="e">
        <f>G1538/$B$39</f>
        <v>#DIV/0!</v>
      </c>
      <c r="G1538" s="748">
        <f>'Part IV-Uses of Funds'!G42</f>
        <v>281626</v>
      </c>
      <c r="J1538" s="748">
        <f>'Part IV-Uses of Funds'!J42</f>
        <v>281626</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2" customHeight="1">
      <c r="B1543" s="748" t="s">
        <v>1091</v>
      </c>
      <c r="O1543" s="748" t="str">
        <f>B1543</f>
        <v>CONSTRUCTION PERIOD FINANCING</v>
      </c>
    </row>
    <row r="1544" spans="1:21" ht="13.2" customHeight="1">
      <c r="B1544" s="748" t="s">
        <v>3496</v>
      </c>
      <c r="G1544" s="748">
        <f>'Part IV-Uses of Funds'!G48</f>
        <v>62000</v>
      </c>
      <c r="J1544" s="748">
        <f>'Part IV-Uses of Funds'!J48</f>
        <v>62000</v>
      </c>
      <c r="M1544" s="748">
        <f>'Part IV-Uses of Funds'!M48</f>
        <v>0</v>
      </c>
      <c r="P1544" s="748">
        <f>'Part IV-Uses of Funds'!P48</f>
        <v>0</v>
      </c>
      <c r="S1544" s="748">
        <f>'Part IV-Uses of Funds'!S48</f>
        <v>0</v>
      </c>
    </row>
    <row r="1545" spans="1:21" ht="13.2" customHeight="1">
      <c r="B1545" s="748" t="s">
        <v>3497</v>
      </c>
      <c r="G1545" s="748">
        <f>'Part IV-Uses of Funds'!G49</f>
        <v>235000</v>
      </c>
      <c r="J1545" s="748">
        <f>'Part IV-Uses of Funds'!J49</f>
        <v>235000</v>
      </c>
      <c r="M1545" s="748">
        <f>'Part IV-Uses of Funds'!M49</f>
        <v>0</v>
      </c>
      <c r="P1545" s="748">
        <f>'Part IV-Uses of Funds'!P49</f>
        <v>0</v>
      </c>
      <c r="S1545" s="748">
        <f>'Part IV-Uses of Funds'!S49</f>
        <v>0</v>
      </c>
    </row>
    <row r="1546" spans="1:21" ht="13.2" customHeight="1">
      <c r="B1546" s="748" t="s">
        <v>3498</v>
      </c>
      <c r="G1546" s="748">
        <f>'Part IV-Uses of Funds'!G50</f>
        <v>55000</v>
      </c>
      <c r="J1546" s="748">
        <f>'Part IV-Uses of Funds'!J50</f>
        <v>55000</v>
      </c>
      <c r="M1546" s="748">
        <f>'Part IV-Uses of Funds'!M50</f>
        <v>0</v>
      </c>
      <c r="P1546" s="748">
        <f>'Part IV-Uses of Funds'!P50</f>
        <v>0</v>
      </c>
      <c r="S1546" s="748">
        <f>'Part IV-Uses of Funds'!S50</f>
        <v>0</v>
      </c>
    </row>
    <row r="1547" spans="1:21" ht="13.2" customHeight="1">
      <c r="B1547" s="748" t="s">
        <v>1092</v>
      </c>
      <c r="G1547" s="748">
        <f>'Part IV-Uses of Funds'!G51</f>
        <v>5000</v>
      </c>
      <c r="J1547" s="748">
        <f>'Part IV-Uses of Funds'!J51</f>
        <v>5000</v>
      </c>
      <c r="M1547" s="748">
        <f>'Part IV-Uses of Funds'!M51</f>
        <v>0</v>
      </c>
      <c r="P1547" s="748">
        <f>'Part IV-Uses of Funds'!P51</f>
        <v>0</v>
      </c>
      <c r="S1547" s="748">
        <f>'Part IV-Uses of Funds'!S51</f>
        <v>0</v>
      </c>
    </row>
    <row r="1548" spans="1:21" ht="13.2" customHeight="1">
      <c r="B1548" s="748" t="s">
        <v>3499</v>
      </c>
      <c r="G1548" s="748">
        <f>'Part IV-Uses of Funds'!G52</f>
        <v>18500</v>
      </c>
      <c r="J1548" s="748">
        <f>'Part IV-Uses of Funds'!J52</f>
        <v>18500</v>
      </c>
      <c r="M1548" s="748">
        <f>'Part IV-Uses of Funds'!M52</f>
        <v>0</v>
      </c>
      <c r="P1548" s="748">
        <f>'Part IV-Uses of Funds'!P52</f>
        <v>0</v>
      </c>
      <c r="S1548" s="748">
        <f>'Part IV-Uses of Funds'!S52</f>
        <v>0</v>
      </c>
    </row>
    <row r="1549" spans="1:21" ht="13.2"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0</v>
      </c>
      <c r="J1550" s="748">
        <f>'Part IV-Uses of Funds'!J54</f>
        <v>0</v>
      </c>
      <c r="M1550" s="748">
        <f>'Part IV-Uses of Funds'!M54</f>
        <v>0</v>
      </c>
      <c r="P1550" s="748">
        <f>'Part IV-Uses of Funds'!P54</f>
        <v>0</v>
      </c>
      <c r="S1550" s="748">
        <f>'Part IV-Uses of Funds'!S54</f>
        <v>0</v>
      </c>
    </row>
    <row r="1551" spans="1:21" ht="13.2" customHeight="1">
      <c r="A1551" s="748" t="str">
        <f>IF(AND(G1551&gt;0,OR(C1551="",C1551="&lt;Enter detailed description here; use Comments section if needed&gt;")),"X","")</f>
        <v/>
      </c>
      <c r="B1551" s="748" t="s">
        <v>1230</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249</v>
      </c>
      <c r="G1552" s="748">
        <f>SUM(G1544:H1551)</f>
        <v>375500</v>
      </c>
      <c r="J1552" s="748">
        <f>SUM(J1544:K1551)</f>
        <v>375500</v>
      </c>
      <c r="M1552" s="748">
        <f>SUM(M1544:N1551)</f>
        <v>0</v>
      </c>
      <c r="P1552" s="748">
        <f>SUM(P1544:Q1551)</f>
        <v>0</v>
      </c>
      <c r="S1552" s="748">
        <f>SUM(S1544:T1551)</f>
        <v>0</v>
      </c>
    </row>
    <row r="1553" spans="1:21" ht="13.2" customHeight="1">
      <c r="B1553" s="748" t="s">
        <v>704</v>
      </c>
      <c r="O1553" s="748" t="str">
        <f>B1553</f>
        <v>PROFESSIONAL SERVICES</v>
      </c>
    </row>
    <row r="1554" spans="1:21" ht="13.2" customHeight="1">
      <c r="B1554" s="748" t="s">
        <v>705</v>
      </c>
      <c r="G1554" s="748">
        <f>'Part IV-Uses of Funds'!G58</f>
        <v>63000</v>
      </c>
      <c r="J1554" s="748">
        <f>'Part IV-Uses of Funds'!J58</f>
        <v>63000</v>
      </c>
      <c r="M1554" s="748">
        <f>'Part IV-Uses of Funds'!M58</f>
        <v>0</v>
      </c>
      <c r="P1554" s="748">
        <f>'Part IV-Uses of Funds'!P58</f>
        <v>0</v>
      </c>
      <c r="S1554" s="748">
        <f>'Part IV-Uses of Funds'!S58</f>
        <v>0</v>
      </c>
    </row>
    <row r="1555" spans="1:21" ht="13.2" customHeight="1">
      <c r="B1555" s="748" t="s">
        <v>706</v>
      </c>
      <c r="G1555" s="748">
        <f>'Part IV-Uses of Funds'!G59</f>
        <v>21000</v>
      </c>
      <c r="J1555" s="748">
        <f>'Part IV-Uses of Funds'!J59</f>
        <v>21000</v>
      </c>
      <c r="M1555" s="748">
        <f>'Part IV-Uses of Funds'!M59</f>
        <v>0</v>
      </c>
      <c r="P1555" s="748">
        <f>'Part IV-Uses of Funds'!P59</f>
        <v>0</v>
      </c>
      <c r="S1555" s="748">
        <f>'Part IV-Uses of Funds'!S59</f>
        <v>0</v>
      </c>
    </row>
    <row r="1556" spans="1:21" ht="13.2" customHeight="1">
      <c r="B1556" s="748" t="s">
        <v>1761</v>
      </c>
      <c r="G1556" s="748">
        <f>'Part IV-Uses of Funds'!G60</f>
        <v>12500</v>
      </c>
      <c r="J1556" s="748">
        <f>'Part IV-Uses of Funds'!J60</f>
        <v>12500</v>
      </c>
      <c r="M1556" s="748">
        <f>'Part IV-Uses of Funds'!M60</f>
        <v>0</v>
      </c>
      <c r="P1556" s="748">
        <f>'Part IV-Uses of Funds'!P60</f>
        <v>0</v>
      </c>
      <c r="S1556" s="748">
        <f>'Part IV-Uses of Funds'!S60</f>
        <v>0</v>
      </c>
    </row>
    <row r="1557" spans="1:21" ht="13.2" customHeight="1">
      <c r="B1557" s="748" t="s">
        <v>1762</v>
      </c>
      <c r="G1557" s="748">
        <f>'Part IV-Uses of Funds'!G61</f>
        <v>12500</v>
      </c>
      <c r="J1557" s="748">
        <f>'Part IV-Uses of Funds'!J61</f>
        <v>12500</v>
      </c>
      <c r="M1557" s="748">
        <f>'Part IV-Uses of Funds'!M61</f>
        <v>0</v>
      </c>
      <c r="P1557" s="748">
        <f>'Part IV-Uses of Funds'!P61</f>
        <v>0</v>
      </c>
      <c r="S1557" s="748">
        <f>'Part IV-Uses of Funds'!S61</f>
        <v>0</v>
      </c>
    </row>
    <row r="1558" spans="1:21" ht="13.2" customHeight="1">
      <c r="B1558" s="748" t="s">
        <v>1763</v>
      </c>
      <c r="G1558" s="748">
        <f>'Part IV-Uses of Funds'!G62</f>
        <v>5000</v>
      </c>
      <c r="J1558" s="748">
        <f>'Part IV-Uses of Funds'!J62</f>
        <v>5000</v>
      </c>
      <c r="M1558" s="748">
        <f>'Part IV-Uses of Funds'!M62</f>
        <v>0</v>
      </c>
      <c r="P1558" s="748">
        <f>'Part IV-Uses of Funds'!P62</f>
        <v>0</v>
      </c>
      <c r="S1558" s="748">
        <f>'Part IV-Uses of Funds'!S62</f>
        <v>0</v>
      </c>
    </row>
    <row r="1559" spans="1:21" ht="13.2" customHeight="1">
      <c r="B1559" s="748" t="s">
        <v>1764</v>
      </c>
      <c r="G1559" s="748">
        <f>'Part IV-Uses of Funds'!G63</f>
        <v>38000</v>
      </c>
      <c r="J1559" s="748">
        <f>'Part IV-Uses of Funds'!J63</f>
        <v>38000</v>
      </c>
      <c r="M1559" s="748">
        <f>'Part IV-Uses of Funds'!M63</f>
        <v>0</v>
      </c>
      <c r="P1559" s="748">
        <f>'Part IV-Uses of Funds'!P63</f>
        <v>0</v>
      </c>
      <c r="S1559" s="748">
        <f>'Part IV-Uses of Funds'!S63</f>
        <v>0</v>
      </c>
    </row>
    <row r="1560" spans="1:21" ht="13.2" customHeight="1">
      <c r="B1560" s="748" t="s">
        <v>707</v>
      </c>
      <c r="G1560" s="748">
        <f>'Part IV-Uses of Funds'!G64</f>
        <v>50000</v>
      </c>
      <c r="J1560" s="748">
        <f>'Part IV-Uses of Funds'!J64</f>
        <v>50000</v>
      </c>
      <c r="M1560" s="748">
        <f>'Part IV-Uses of Funds'!M64</f>
        <v>0</v>
      </c>
      <c r="P1560" s="748">
        <f>'Part IV-Uses of Funds'!P64</f>
        <v>0</v>
      </c>
      <c r="S1560" s="748">
        <f>'Part IV-Uses of Funds'!S64</f>
        <v>0</v>
      </c>
    </row>
    <row r="1561" spans="1:21" ht="13.2" customHeight="1">
      <c r="B1561" s="748" t="s">
        <v>708</v>
      </c>
      <c r="G1561" s="748">
        <f>'Part IV-Uses of Funds'!G65</f>
        <v>10000</v>
      </c>
      <c r="J1561" s="748">
        <f>'Part IV-Uses of Funds'!J65</f>
        <v>10000</v>
      </c>
      <c r="M1561" s="748">
        <f>'Part IV-Uses of Funds'!M65</f>
        <v>0</v>
      </c>
      <c r="P1561" s="748">
        <f>'Part IV-Uses of Funds'!P65</f>
        <v>0</v>
      </c>
      <c r="S1561" s="748">
        <f>'Part IV-Uses of Funds'!S65</f>
        <v>0</v>
      </c>
    </row>
    <row r="1562" spans="1:21" ht="13.2" customHeight="1">
      <c r="B1562" s="748" t="s">
        <v>3141</v>
      </c>
      <c r="G1562" s="748">
        <f>'Part IV-Uses of Funds'!G66</f>
        <v>15000</v>
      </c>
      <c r="J1562" s="748">
        <f>'Part IV-Uses of Funds'!J66</f>
        <v>15000</v>
      </c>
      <c r="M1562" s="748">
        <f>'Part IV-Uses of Funds'!M66</f>
        <v>0</v>
      </c>
      <c r="P1562" s="748">
        <f>'Part IV-Uses of Funds'!P66</f>
        <v>0</v>
      </c>
      <c r="S1562" s="748">
        <f>'Part IV-Uses of Funds'!S66</f>
        <v>0</v>
      </c>
    </row>
    <row r="1563" spans="1:21" ht="13.2"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249</v>
      </c>
      <c r="G1564" s="748">
        <f>SUM(G1554:H1563)</f>
        <v>227000</v>
      </c>
      <c r="J1564" s="748">
        <f>SUM(J1554:K1563)</f>
        <v>227000</v>
      </c>
      <c r="M1564" s="748">
        <f>SUM(M1554:N1563)</f>
        <v>0</v>
      </c>
      <c r="P1564" s="748">
        <f>SUM(P1554:Q1563)</f>
        <v>0</v>
      </c>
      <c r="S1564" s="748">
        <f>SUM(S1554:T1563)</f>
        <v>0</v>
      </c>
    </row>
    <row r="1565" spans="1:21" ht="13.2" customHeight="1">
      <c r="B1565" s="748" t="s">
        <v>1953</v>
      </c>
      <c r="O1565" s="748" t="str">
        <f>B1565</f>
        <v>LOCAL GOVERNMENT FEES</v>
      </c>
    </row>
    <row r="1566" spans="1:21" ht="13.2" customHeight="1">
      <c r="B1566" s="748" t="s">
        <v>1954</v>
      </c>
      <c r="G1566" s="748">
        <f>'Part IV-Uses of Funds'!G70</f>
        <v>32108</v>
      </c>
      <c r="J1566" s="748">
        <f>'Part IV-Uses of Funds'!J70</f>
        <v>32108</v>
      </c>
      <c r="M1566" s="748">
        <f>'Part IV-Uses of Funds'!M70</f>
        <v>0</v>
      </c>
      <c r="P1566" s="748">
        <f>'Part IV-Uses of Funds'!P70</f>
        <v>0</v>
      </c>
      <c r="S1566" s="748">
        <f>'Part IV-Uses of Funds'!S70</f>
        <v>0</v>
      </c>
    </row>
    <row r="1567" spans="1:21" ht="13.2" customHeight="1">
      <c r="B1567" s="748" t="s">
        <v>1955</v>
      </c>
      <c r="G1567" s="748">
        <f>'Part IV-Uses of Funds'!G71</f>
        <v>477133</v>
      </c>
      <c r="J1567" s="748">
        <f>'Part IV-Uses of Funds'!J71</f>
        <v>477133</v>
      </c>
      <c r="M1567" s="748">
        <f>'Part IV-Uses of Funds'!M71</f>
        <v>0</v>
      </c>
      <c r="P1567" s="748">
        <f>'Part IV-Uses of Funds'!P71</f>
        <v>0</v>
      </c>
      <c r="S1567" s="748">
        <f>'Part IV-Uses of Funds'!S71</f>
        <v>0</v>
      </c>
    </row>
    <row r="1568" spans="1:21" ht="13.2" customHeight="1">
      <c r="B1568" s="748" t="s">
        <v>1956</v>
      </c>
      <c r="D1568" s="748" t="s">
        <v>2111</v>
      </c>
      <c r="E1568" s="748">
        <f>'Part IV-Uses of Funds'!E72</f>
        <v>0</v>
      </c>
      <c r="G1568" s="748">
        <f>'Part IV-Uses of Funds'!G72</f>
        <v>19682</v>
      </c>
      <c r="J1568" s="748">
        <f>'Part IV-Uses of Funds'!J72</f>
        <v>19682</v>
      </c>
      <c r="M1568" s="748">
        <f>'Part IV-Uses of Funds'!M72</f>
        <v>0</v>
      </c>
      <c r="P1568" s="748">
        <f>'Part IV-Uses of Funds'!P72</f>
        <v>0</v>
      </c>
      <c r="S1568" s="748">
        <f>'Part IV-Uses of Funds'!S72</f>
        <v>0</v>
      </c>
    </row>
    <row r="1569" spans="1:21" ht="13.2" customHeight="1">
      <c r="B1569" s="748" t="s">
        <v>1957</v>
      </c>
      <c r="D1569" s="748" t="s">
        <v>2111</v>
      </c>
      <c r="E1569" s="748">
        <f>'Part IV-Uses of Funds'!E73</f>
        <v>0</v>
      </c>
      <c r="G1569" s="748">
        <f>'Part IV-Uses of Funds'!G73</f>
        <v>160270</v>
      </c>
      <c r="J1569" s="748">
        <f>'Part IV-Uses of Funds'!J73</f>
        <v>160270</v>
      </c>
      <c r="M1569" s="748">
        <f>'Part IV-Uses of Funds'!M73</f>
        <v>0</v>
      </c>
      <c r="P1569" s="748">
        <f>'Part IV-Uses of Funds'!P73</f>
        <v>0</v>
      </c>
      <c r="S1569" s="748">
        <f>'Part IV-Uses of Funds'!S73</f>
        <v>0</v>
      </c>
    </row>
    <row r="1570" spans="1:21" ht="13.2" customHeight="1">
      <c r="F1570" s="748" t="s">
        <v>249</v>
      </c>
      <c r="G1570" s="748">
        <f>SUM(G1566:H1569)</f>
        <v>689193</v>
      </c>
      <c r="J1570" s="748">
        <f>SUM(J1566:K1569)</f>
        <v>689193</v>
      </c>
      <c r="M1570" s="748">
        <f>SUM(M1566:N1569)</f>
        <v>0</v>
      </c>
      <c r="P1570" s="748">
        <f>SUM(P1566:Q1569)</f>
        <v>0</v>
      </c>
      <c r="S1570" s="748">
        <f>SUM(S1566:T1569)</f>
        <v>0</v>
      </c>
    </row>
    <row r="1571" spans="1:21" ht="13.2" customHeight="1">
      <c r="B1571" s="748" t="s">
        <v>1093</v>
      </c>
      <c r="O1571" s="748" t="str">
        <f>B1571</f>
        <v>PERMANENT FINANCING FEES</v>
      </c>
    </row>
    <row r="1572" spans="1:21" ht="13.2" customHeight="1">
      <c r="B1572" s="748" t="s">
        <v>1958</v>
      </c>
      <c r="G1572" s="748">
        <f>'Part IV-Uses of Funds'!G76</f>
        <v>0</v>
      </c>
      <c r="S1572" s="748">
        <f>'Part IV-Uses of Funds'!S76</f>
        <v>0</v>
      </c>
    </row>
    <row r="1573" spans="1:21" ht="13.2" customHeight="1">
      <c r="B1573" s="748" t="s">
        <v>1959</v>
      </c>
      <c r="G1573" s="748">
        <f>'Part IV-Uses of Funds'!G77</f>
        <v>0</v>
      </c>
      <c r="S1573" s="748">
        <f>'Part IV-Uses of Funds'!S77</f>
        <v>0</v>
      </c>
    </row>
    <row r="1574" spans="1:21" ht="13.2" customHeight="1">
      <c r="B1574" s="748" t="s">
        <v>1960</v>
      </c>
      <c r="G1574" s="748">
        <f>'Part IV-Uses of Funds'!G78</f>
        <v>27000</v>
      </c>
      <c r="J1574" s="748">
        <f>'Part IV-Uses of Funds'!J78</f>
        <v>27000</v>
      </c>
      <c r="M1574" s="748">
        <f>'Part IV-Uses of Funds'!M78</f>
        <v>0</v>
      </c>
      <c r="P1574" s="748">
        <f>'Part IV-Uses of Funds'!P78</f>
        <v>0</v>
      </c>
      <c r="S1574" s="748">
        <f>'Part IV-Uses of Funds'!S78</f>
        <v>0</v>
      </c>
    </row>
    <row r="1575" spans="1:21" ht="13.2" customHeight="1">
      <c r="B1575" s="748" t="s">
        <v>1961</v>
      </c>
      <c r="G1575" s="748">
        <f>'Part IV-Uses of Funds'!G79</f>
        <v>7500</v>
      </c>
      <c r="J1575" s="748">
        <f>'Part IV-Uses of Funds'!J79</f>
        <v>7500</v>
      </c>
      <c r="M1575" s="748">
        <f>'Part IV-Uses of Funds'!M79</f>
        <v>0</v>
      </c>
      <c r="P1575" s="748">
        <f>'Part IV-Uses of Funds'!P79</f>
        <v>0</v>
      </c>
      <c r="S1575" s="748">
        <f>'Part IV-Uses of Funds'!S79</f>
        <v>0</v>
      </c>
    </row>
    <row r="1576" spans="1:21" ht="13.2"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249</v>
      </c>
      <c r="G1579" s="748">
        <f>SUM(G1572:H1578)</f>
        <v>34500</v>
      </c>
      <c r="J1579" s="748">
        <f>SUM(J1574:K1578)</f>
        <v>34500</v>
      </c>
      <c r="M1579" s="748">
        <f>SUM(M1574:N1578)</f>
        <v>0</v>
      </c>
      <c r="P1579" s="748">
        <f>SUM(P1574:Q1578)</f>
        <v>0</v>
      </c>
      <c r="S1579" s="748">
        <f>SUM(S1572:T1578)</f>
        <v>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2"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66500</v>
      </c>
      <c r="S1588" s="748">
        <f>'Part IV-Uses of Funds'!S92</f>
        <v>66500</v>
      </c>
    </row>
    <row r="1589" spans="1:21" ht="12.6" customHeight="1">
      <c r="B1589" s="748" t="s">
        <v>1244</v>
      </c>
      <c r="E1589" s="748">
        <f>'Part VI-Revenues &amp; Expenses'!$M$63*'DCA Underwriting Assumptions'!$Q$44</f>
        <v>42000</v>
      </c>
      <c r="G1589" s="748">
        <f>'Part IV-Uses of Funds'!G93</f>
        <v>42000</v>
      </c>
      <c r="S1589" s="748">
        <f>'Part IV-Uses of Funds'!S93</f>
        <v>42000</v>
      </c>
    </row>
    <row r="1590" spans="1:21" ht="12.6" customHeight="1">
      <c r="B1590" s="748" t="s">
        <v>715</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115500</v>
      </c>
      <c r="S1594" s="748">
        <f>SUM(S1585:T1593)</f>
        <v>115500</v>
      </c>
    </row>
    <row r="1595" spans="1:21" ht="13.2" customHeight="1">
      <c r="B1595" s="748" t="s">
        <v>3440</v>
      </c>
      <c r="O1595" s="748" t="str">
        <f>B1595</f>
        <v>EQUITY COSTS</v>
      </c>
    </row>
    <row r="1596" spans="1:21" ht="12.6" customHeight="1">
      <c r="B1596" s="748" t="s">
        <v>370</v>
      </c>
      <c r="G1596" s="748">
        <f>'Part IV-Uses of Funds'!G100</f>
        <v>10000</v>
      </c>
      <c r="S1596" s="748">
        <f>'Part IV-Uses of Funds'!S100</f>
        <v>10000</v>
      </c>
    </row>
    <row r="1597" spans="1:21" ht="12.6" customHeight="1">
      <c r="B1597" s="748" t="s">
        <v>372</v>
      </c>
      <c r="G1597" s="748">
        <f>'Part IV-Uses of Funds'!G101</f>
        <v>5000</v>
      </c>
      <c r="S1597" s="748">
        <f>'Part IV-Uses of Funds'!S101</f>
        <v>5000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15000</v>
      </c>
      <c r="S1600" s="748">
        <f>SUM(S1596:T1599)</f>
        <v>15000</v>
      </c>
    </row>
    <row r="1601" spans="1:21" ht="13.2" customHeight="1">
      <c r="B1601" s="748" t="s">
        <v>373</v>
      </c>
      <c r="O1601" s="748" t="str">
        <f>B1601</f>
        <v>DEVELOPER'S FEE</v>
      </c>
    </row>
    <row r="1602" spans="1:21" ht="12.6" customHeight="1">
      <c r="B1602" s="748" t="s">
        <v>2915</v>
      </c>
      <c r="F1602" s="748" t="e">
        <f>G1602/$G$109</f>
        <v>#DIV/0!</v>
      </c>
      <c r="G1602" s="748">
        <f>'Part IV-Uses of Funds'!G106</f>
        <v>221241</v>
      </c>
      <c r="J1602" s="748">
        <f>'Part IV-Uses of Funds'!J106</f>
        <v>221241</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884967</v>
      </c>
      <c r="J1604" s="748">
        <f>'Part IV-Uses of Funds'!J108</f>
        <v>884967</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1106208</v>
      </c>
      <c r="J1605" s="748">
        <f>SUM(J1602:K1604)</f>
        <v>1106208</v>
      </c>
      <c r="M1605" s="748">
        <f>SUM(M1602:N1604)</f>
        <v>0</v>
      </c>
      <c r="P1605" s="748">
        <f>SUM(P1602:Q1604)</f>
        <v>0</v>
      </c>
      <c r="S1605" s="748">
        <f>SUM(S1602:T1604)</f>
        <v>0</v>
      </c>
    </row>
    <row r="1606" spans="1:21" ht="13.2" customHeight="1">
      <c r="B1606" s="748" t="s">
        <v>2010</v>
      </c>
      <c r="O1606" s="748" t="str">
        <f>B1606</f>
        <v>START-UP AND RESERVES</v>
      </c>
    </row>
    <row r="1607" spans="1:21" ht="12.6" customHeight="1">
      <c r="B1607" s="748" t="s">
        <v>324</v>
      </c>
      <c r="G1607" s="748">
        <f>'Part IV-Uses of Funds'!G111</f>
        <v>15000</v>
      </c>
      <c r="S1607" s="748">
        <f>'Part IV-Uses of Funds'!S111</f>
        <v>15000</v>
      </c>
    </row>
    <row r="1608" spans="1:21" ht="12.6" customHeight="1">
      <c r="B1608" s="748" t="s">
        <v>2287</v>
      </c>
      <c r="G1608" s="748">
        <f>'Part IV-Uses of Funds'!G112</f>
        <v>60000</v>
      </c>
      <c r="S1608" s="748">
        <f>'Part IV-Uses of Funds'!S112</f>
        <v>60000</v>
      </c>
    </row>
    <row r="1609" spans="1:21" ht="12.6" customHeight="1">
      <c r="B1609" s="748" t="s">
        <v>1028</v>
      </c>
      <c r="G1609" s="748">
        <f>'Part IV-Uses of Funds'!G113</f>
        <v>120000</v>
      </c>
      <c r="S1609" s="748">
        <f>'Part IV-Uses of Funds'!S113</f>
        <v>120000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666.66666666666663</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235000</v>
      </c>
      <c r="J1613" s="748">
        <f>SUM(J1611:K1612)</f>
        <v>40000</v>
      </c>
      <c r="M1613" s="748">
        <f>SUM(M1611:N1612)</f>
        <v>0</v>
      </c>
      <c r="P1613" s="748">
        <f>SUM(P1611:Q1612)</f>
        <v>0</v>
      </c>
      <c r="S1613" s="748">
        <f>SUM(S1607:T1612)</f>
        <v>195000</v>
      </c>
    </row>
    <row r="1614" spans="1:21" ht="13.2"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5" customHeight="1">
      <c r="B1619" s="748" t="s">
        <v>374</v>
      </c>
      <c r="G1619" s="748">
        <f>G1513+G1519+G1523+G1528+G1532+G1538+G1552+G1564+G1570+G1579+G1594+G1600+G1605+G1613+G1617</f>
        <v>9217744</v>
      </c>
      <c r="J1619" s="748">
        <f>J1513+J1519+J1523+J1528+J1532+J1538+J1552+J1564+J1570+J1579+J1594+J1600+J1605+J1613+J1617</f>
        <v>8442077</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775667</v>
      </c>
    </row>
    <row r="1620" spans="1:19" ht="3" customHeight="1"/>
    <row r="1621" spans="1:19" ht="13.95" customHeight="1">
      <c r="B1621" s="748" t="s">
        <v>3896</v>
      </c>
      <c r="D1621" s="748">
        <f>IF(AND($T$155 = "Yes", 'Part IX A-Scoring Criteria'!$O$176 &gt; 0),'DCA Underwriting Assumptions'!$R$13, IF(AND('Part IV-Uses of Funds'!$T$156="Yes", 'Part IX A-Scoring Criteria'!$O$74&gt;0),'DCA Underwriting Assumptions'!$R$12, 'DCA Underwriting Assumptions'!$R$11))</f>
        <v>9240180</v>
      </c>
      <c r="F1621" s="748" t="s">
        <v>1038</v>
      </c>
      <c r="G1621" s="748">
        <f>G1619/'Part VI-Revenues &amp; Expenses'!$M$63</f>
        <v>153629.06666666668</v>
      </c>
      <c r="J1621" s="748" t="s">
        <v>1039</v>
      </c>
      <c r="M1621" s="748">
        <f>G1619/'Part VI-Revenues &amp; Expenses'!$M$98</f>
        <v>128.02422222222222</v>
      </c>
    </row>
    <row r="1622" spans="1:19" ht="3" customHeight="1"/>
    <row r="1623" spans="1:19" ht="3.6" customHeight="1"/>
    <row r="1624" spans="1:19" ht="25.95" customHeight="1">
      <c r="A1624" s="748" t="s">
        <v>1229</v>
      </c>
      <c r="B1624" s="748" t="s">
        <v>2145</v>
      </c>
      <c r="J1624" s="748" t="s">
        <v>359</v>
      </c>
      <c r="M1624" s="748" t="s">
        <v>114</v>
      </c>
      <c r="P1624" s="748" t="s">
        <v>360</v>
      </c>
    </row>
    <row r="1625" spans="1:19" ht="15" customHeight="1">
      <c r="B1625" s="748" t="s">
        <v>3136</v>
      </c>
    </row>
    <row r="1626" spans="1:19" ht="6" customHeight="1"/>
    <row r="1627" spans="1:19" ht="13.95" customHeight="1">
      <c r="B1627" s="748" t="s">
        <v>185</v>
      </c>
      <c r="J1627" s="748">
        <f>'Part IV-Uses of Funds'!J131</f>
        <v>0</v>
      </c>
      <c r="P1627" s="748">
        <f>'Part IV-Uses of Funds'!P131</f>
        <v>0</v>
      </c>
    </row>
    <row r="1628" spans="1:19" ht="13.95" customHeight="1">
      <c r="B1628" s="748" t="s">
        <v>3256</v>
      </c>
      <c r="J1628" s="748">
        <f>'Part IV-Uses of Funds'!J132</f>
        <v>0</v>
      </c>
      <c r="P1628" s="748">
        <f>'Part IV-Uses of Funds'!P132</f>
        <v>0</v>
      </c>
    </row>
    <row r="1629" spans="1:19" ht="13.95" customHeight="1">
      <c r="B1629" s="748" t="s">
        <v>2918</v>
      </c>
      <c r="J1629" s="748">
        <f>'Part IV-Uses of Funds'!J133</f>
        <v>0</v>
      </c>
      <c r="P1629" s="748">
        <f>'Part IV-Uses of Funds'!P133</f>
        <v>0</v>
      </c>
    </row>
    <row r="1630" spans="1:19" ht="13.95" customHeight="1">
      <c r="B1630" s="748" t="s">
        <v>2919</v>
      </c>
      <c r="J1630" s="748">
        <f>'Part IV-Uses of Funds'!J134</f>
        <v>0</v>
      </c>
      <c r="P1630" s="748">
        <f>'Part IV-Uses of Funds'!P134</f>
        <v>0</v>
      </c>
    </row>
    <row r="1631" spans="1:19" ht="13.95" customHeight="1">
      <c r="B1631" s="748" t="s">
        <v>329</v>
      </c>
      <c r="J1631" s="748">
        <f>'Part IV-Uses of Funds'!J135</f>
        <v>0</v>
      </c>
      <c r="P1631" s="748">
        <f>'Part IV-Uses of Funds'!P135</f>
        <v>0</v>
      </c>
    </row>
    <row r="1632" spans="1:19" ht="13.95"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5" customHeight="1">
      <c r="B1633" s="748" t="s">
        <v>2920</v>
      </c>
      <c r="J1633" s="748">
        <f>SUM(J1627:K1632)</f>
        <v>0</v>
      </c>
      <c r="P1633" s="748">
        <f>SUM(P1627:Q1632)</f>
        <v>0</v>
      </c>
    </row>
    <row r="1634" spans="1:19" ht="3" customHeight="1"/>
    <row r="1635" spans="1:19" ht="15" customHeight="1">
      <c r="B1635" s="748" t="s">
        <v>3488</v>
      </c>
    </row>
    <row r="1636" spans="1:19" ht="13.95" customHeight="1">
      <c r="B1636" s="748" t="s">
        <v>2821</v>
      </c>
      <c r="J1636" s="748">
        <f>J1619</f>
        <v>8442077</v>
      </c>
      <c r="M1636" s="748">
        <f>M1619</f>
        <v>0</v>
      </c>
      <c r="P1636" s="748">
        <f>P1619</f>
        <v>0</v>
      </c>
    </row>
    <row r="1637" spans="1:19" ht="13.95" customHeight="1">
      <c r="B1637" s="748" t="s">
        <v>3344</v>
      </c>
      <c r="J1637" s="748">
        <f>J1633</f>
        <v>0</v>
      </c>
      <c r="P1637" s="748">
        <f>P1633</f>
        <v>0</v>
      </c>
    </row>
    <row r="1638" spans="1:19" ht="13.95" customHeight="1">
      <c r="B1638" s="748" t="s">
        <v>3345</v>
      </c>
      <c r="J1638" s="748">
        <f>J1636-J1637</f>
        <v>8442077</v>
      </c>
      <c r="M1638" s="748">
        <f>M1636</f>
        <v>0</v>
      </c>
      <c r="P1638" s="748">
        <f>P1636-P1637</f>
        <v>0</v>
      </c>
    </row>
    <row r="1639" spans="1:19" ht="13.95" customHeight="1">
      <c r="B1639" s="748" t="s">
        <v>2228</v>
      </c>
      <c r="G1639" s="748" t="s">
        <v>2734</v>
      </c>
      <c r="H1639" s="748" t="str">
        <f>'Part IV-Uses of Funds'!H143</f>
        <v>State Boost</v>
      </c>
      <c r="J1639" s="748">
        <f>'Part IV-Uses of Funds'!J143</f>
        <v>1.3</v>
      </c>
      <c r="P1639" s="748">
        <f>'Part IV-Uses of Funds'!P143</f>
        <v>1.3</v>
      </c>
    </row>
    <row r="1640" spans="1:19" ht="13.95" customHeight="1">
      <c r="B1640" s="748" t="s">
        <v>3150</v>
      </c>
      <c r="J1640" s="748">
        <f>J1638*J1639</f>
        <v>10974700.1</v>
      </c>
      <c r="M1640" s="748">
        <f>+M1638</f>
        <v>0</v>
      </c>
      <c r="P1640" s="748">
        <f>P1638*P1639</f>
        <v>0</v>
      </c>
    </row>
    <row r="1641" spans="1:19" ht="13.95"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3137</v>
      </c>
      <c r="J1642" s="748">
        <f>J1640*J1641</f>
        <v>10974700.1</v>
      </c>
      <c r="M1642" s="748">
        <f>M1640*M1641</f>
        <v>0</v>
      </c>
      <c r="P1642" s="748">
        <f>P1640*P1641</f>
        <v>0</v>
      </c>
    </row>
    <row r="1643" spans="1:19" ht="13.95" customHeight="1">
      <c r="B1643" s="748" t="s">
        <v>3138</v>
      </c>
      <c r="J1643" s="748">
        <f>'Part IV-Uses of Funds'!J147</f>
        <v>0.09</v>
      </c>
      <c r="M1643" s="748">
        <f>'Part IV-Uses of Funds'!M147</f>
        <v>0</v>
      </c>
      <c r="P1643" s="748">
        <f>'Part IV-Uses of Funds'!P147</f>
        <v>0</v>
      </c>
    </row>
    <row r="1644" spans="1:19" ht="13.95" customHeight="1">
      <c r="B1644" s="748" t="s">
        <v>3841</v>
      </c>
      <c r="J1644" s="748">
        <f>J1642*J1643</f>
        <v>987723.00899999996</v>
      </c>
      <c r="M1644" s="748">
        <f>M1642*M1643</f>
        <v>0</v>
      </c>
      <c r="P1644" s="748">
        <f>P1642*P1643</f>
        <v>0</v>
      </c>
    </row>
    <row r="1645" spans="1:19" ht="13.95" customHeight="1">
      <c r="B1645" s="748" t="s">
        <v>2143</v>
      </c>
      <c r="J1645" s="748">
        <f>J1644+M1644+P1644</f>
        <v>987723.00899999996</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9217744</v>
      </c>
      <c r="M1648" s="748" t="s">
        <v>3645</v>
      </c>
    </row>
    <row r="1649" spans="1:20" ht="13.95" customHeight="1">
      <c r="B1649" s="748" t="s">
        <v>3604</v>
      </c>
      <c r="J1649" s="748">
        <f>'Part IV-Uses of Funds'!J153</f>
        <v>9217744</v>
      </c>
    </row>
    <row r="1650" spans="1:20" ht="13.95" customHeight="1">
      <c r="B1650" s="748" t="s">
        <v>341</v>
      </c>
      <c r="J1650" s="749">
        <f>'Part III A-Sources of Funds'!$H$49-'Part III A-Sources of Funds'!$H$37-'Part III A-Sources of Funds'!$H$40-'Part III A-Sources of Funds'!$H$41</f>
        <v>0</v>
      </c>
      <c r="T1650" s="748" t="s">
        <v>344</v>
      </c>
    </row>
    <row r="1651" spans="1:20" ht="13.95" customHeight="1">
      <c r="B1651" s="748" t="s">
        <v>3357</v>
      </c>
      <c r="J1651" s="748">
        <f>+J1649-J1650</f>
        <v>9217744</v>
      </c>
      <c r="M1651" s="748" t="s">
        <v>342</v>
      </c>
      <c r="O1651" s="748" t="s">
        <v>2652</v>
      </c>
      <c r="S1651" s="748" t="s">
        <v>2651</v>
      </c>
      <c r="T1651" s="748">
        <f>'Part IV-Uses of Funds'!T155</f>
        <v>0</v>
      </c>
    </row>
    <row r="1652" spans="1:20" ht="13.95" customHeight="1">
      <c r="B1652" s="748" t="s">
        <v>1986</v>
      </c>
      <c r="J1652" s="748" t="str">
        <f>"/ 10"</f>
        <v>/ 10</v>
      </c>
      <c r="M1652" s="748">
        <f>'Part IV-Uses of Funds'!M156</f>
        <v>0</v>
      </c>
      <c r="O1652" s="748">
        <f>'Part IV-Uses of Funds'!O156</f>
        <v>0</v>
      </c>
      <c r="S1652" s="748" t="s">
        <v>343</v>
      </c>
      <c r="T1652" s="748">
        <f>'Part IV-Uses of Funds'!T156</f>
        <v>0</v>
      </c>
    </row>
    <row r="1653" spans="1:20" ht="13.95" customHeight="1">
      <c r="B1653" s="748" t="s">
        <v>1987</v>
      </c>
      <c r="J1653" s="748">
        <f>J1651/10</f>
        <v>921774.4</v>
      </c>
      <c r="N1653" s="748" t="s">
        <v>1988</v>
      </c>
      <c r="Q1653" s="748" t="s">
        <v>2830</v>
      </c>
    </row>
    <row r="1654" spans="1:20" ht="13.95" customHeight="1">
      <c r="B1654" s="748" t="s">
        <v>4046</v>
      </c>
      <c r="J1654" s="748">
        <f>N1654+Q1654</f>
        <v>0.95</v>
      </c>
      <c r="M1654" s="748" t="s">
        <v>1989</v>
      </c>
      <c r="N1654" s="748">
        <f>'Part IV-Uses of Funds'!N158</f>
        <v>0.7</v>
      </c>
      <c r="P1654" s="748" t="s">
        <v>945</v>
      </c>
      <c r="Q1654" s="748">
        <f>'Part IV-Uses of Funds'!Q158</f>
        <v>0.25</v>
      </c>
    </row>
    <row r="1655" spans="1:20" ht="13.95" customHeight="1">
      <c r="B1655" s="748" t="s">
        <v>2144</v>
      </c>
      <c r="J1655" s="748">
        <f>IF(J1654=0,"",J1653/J1654)</f>
        <v>970288.84210526326</v>
      </c>
    </row>
    <row r="1656" spans="1:20" ht="9" customHeight="1"/>
    <row r="1657" spans="1:20" ht="16.2" customHeight="1">
      <c r="B1657" s="748" t="s">
        <v>3605</v>
      </c>
      <c r="J1657" s="748">
        <f>+MIN(J1645,J1655,'DCA Underwriting Assumptions'!$R$6)</f>
        <v>950000</v>
      </c>
    </row>
    <row r="1658" spans="1:20" ht="9.6" customHeight="1"/>
    <row r="1659" spans="1:20" ht="16.2" customHeight="1">
      <c r="B1659" s="748" t="s">
        <v>3606</v>
      </c>
      <c r="J1659" s="748">
        <f>'Part IV-Uses of Funds'!J163</f>
        <v>950000</v>
      </c>
      <c r="M1659" s="748" t="str">
        <f>IF(J1659&gt;J1657,"ALLOCATION CANNOT EXCEED MAXIMUM - REVISE ALLOCATION!","")</f>
        <v/>
      </c>
    </row>
    <row r="1660" spans="1:20" ht="9.6" customHeight="1"/>
    <row r="1661" spans="1:20" ht="16.2" customHeight="1">
      <c r="A1661" s="748" t="s">
        <v>2823</v>
      </c>
      <c r="B1661" s="748" t="s">
        <v>3607</v>
      </c>
      <c r="J1661" s="748">
        <f>+MIN(J1657,J1659)</f>
        <v>950000</v>
      </c>
    </row>
    <row r="1662" spans="1:20" ht="3" customHeight="1"/>
    <row r="1663" spans="1:20" ht="6" customHeight="1"/>
    <row r="1664" spans="1:20" ht="12" customHeight="1">
      <c r="A1664" s="748" t="s">
        <v>2825</v>
      </c>
      <c r="B1664" s="748" t="s">
        <v>879</v>
      </c>
      <c r="K1664" s="748" t="s">
        <v>822</v>
      </c>
      <c r="L1664" s="748" t="s">
        <v>89</v>
      </c>
    </row>
    <row r="1665" spans="1:12" ht="107.4" customHeight="1">
      <c r="A1665" s="748" t="str">
        <f>'Part IV-Uses of Funds'!A169</f>
        <v xml:space="preserve">* To all applicants: please provide methodology for determining applicable construction hard costs.                                                                                                                                                                                                                                   Please see Tab 8 in application binder for schedule of values. </v>
      </c>
      <c r="K1665" s="748">
        <f>'Part IV-Uses of Funds'!K169</f>
        <v>0</v>
      </c>
    </row>
    <row r="1666" spans="1:12" ht="107.4" customHeight="1">
      <c r="A1666" s="748" t="str">
        <f>'Part IV-Uses of Funds'!A170</f>
        <v>Please See Tab 8 for breakdwon of tap fees, building permit fees, and impact fees, along with backup documentation from city of Hampton.  These fees are indeed high, but they are what is required by the city of Hampton.</v>
      </c>
      <c r="K1666" s="748">
        <f>'Part IV-Uses of Funds'!K170</f>
        <v>0</v>
      </c>
    </row>
    <row r="1667" spans="1:12" ht="107.4" customHeight="1">
      <c r="A1667" s="748" t="str">
        <f>'Part IV-Uses of Funds'!A171</f>
        <v>Prorata Land price equals $800,000 x 15 acres divided by 27.25 total acres= $440,367</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2011-053 Hampton Court , ,  County</v>
      </c>
    </row>
    <row r="1675" spans="1:12">
      <c r="F1675" s="748" t="s">
        <v>806</v>
      </c>
      <c r="I1675" s="748" t="str">
        <f>VLOOKUP('Part I-Project Information'!$J$25,'Part I-Project Information'!$C$183:$D$342,2)</f>
        <v>Middle</v>
      </c>
    </row>
    <row r="1677" spans="1:12">
      <c r="A1677" s="748" t="s">
        <v>950</v>
      </c>
      <c r="B1677" s="748" t="s">
        <v>3352</v>
      </c>
      <c r="F1677" s="748" t="s">
        <v>3806</v>
      </c>
      <c r="I1677" s="748" t="str">
        <f>'Part V-Utility Allowances'!I5</f>
        <v>DCA</v>
      </c>
    </row>
    <row r="1678" spans="1:12">
      <c r="F1678" s="748" t="s">
        <v>972</v>
      </c>
      <c r="I1678" s="748">
        <f>'Part V-Utility Allowances'!I6</f>
        <v>40695</v>
      </c>
      <c r="K1678" s="748" t="s">
        <v>833</v>
      </c>
      <c r="L1678" s="748" t="str">
        <f>'Part V-Utility Allowances'!L6</f>
        <v>MF</v>
      </c>
    </row>
    <row r="1680" spans="1:12">
      <c r="F1680" s="748" t="s">
        <v>942</v>
      </c>
      <c r="I1680" s="748" t="s">
        <v>258</v>
      </c>
    </row>
    <row r="1681" spans="1:13">
      <c r="B1681" s="748" t="s">
        <v>1380</v>
      </c>
      <c r="D1681" s="748" t="s">
        <v>2361</v>
      </c>
      <c r="F1681" s="748" t="s">
        <v>978</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9</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0</v>
      </c>
      <c r="K1683" s="748">
        <f>'Part V-Utility Allowances'!K11</f>
        <v>41</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12</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36</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0</v>
      </c>
      <c r="K1686" s="748">
        <f>'Part V-Utility Allowances'!K14</f>
        <v>33</v>
      </c>
      <c r="L1686" s="748">
        <f>'Part V-Utility Allowances'!L14</f>
        <v>0</v>
      </c>
      <c r="M1686" s="748">
        <f>'Part V-Utility Allowances'!M14</f>
        <v>0</v>
      </c>
    </row>
    <row r="1687" spans="1:13">
      <c r="B1687" s="748" t="s">
        <v>2072</v>
      </c>
      <c r="D1687" s="748" t="s">
        <v>3351</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64</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0</v>
      </c>
      <c r="K1689" s="748">
        <f>SUM(K1682:K1688)</f>
        <v>195</v>
      </c>
      <c r="L1689" s="748">
        <f>SUM(L1682:L1688)</f>
        <v>0</v>
      </c>
      <c r="M1689" s="748">
        <f>SUM(M1682:M1688)</f>
        <v>0</v>
      </c>
    </row>
    <row r="1691" spans="1:13">
      <c r="A1691" s="748" t="s">
        <v>1229</v>
      </c>
      <c r="B1691" s="748" t="s">
        <v>3353</v>
      </c>
      <c r="F1691" s="748" t="s">
        <v>3806</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2011-053 Hampton Court , ,  County</v>
      </c>
    </row>
    <row r="1717" spans="1:219" ht="12" customHeight="1"/>
    <row r="1718" spans="1:219" ht="12.6" customHeight="1">
      <c r="A1718" s="748" t="s">
        <v>950</v>
      </c>
      <c r="B1718" s="748" t="s">
        <v>3572</v>
      </c>
      <c r="D1718" s="748" t="s">
        <v>328</v>
      </c>
      <c r="N1718" s="748" t="s">
        <v>886</v>
      </c>
      <c r="O1718" s="748" t="str">
        <f>'Part I-Project Information'!$J$26</f>
        <v>Atlanta-Sandy Springs-Marietta</v>
      </c>
      <c r="EY1718" s="748" t="s">
        <v>716</v>
      </c>
      <c r="EZ1718" s="748" t="s">
        <v>3687</v>
      </c>
      <c r="FA1718" s="748" t="s">
        <v>3688</v>
      </c>
      <c r="FB1718" s="748" t="s">
        <v>3689</v>
      </c>
      <c r="FC1718" s="748" t="s">
        <v>3690</v>
      </c>
      <c r="FI1718" s="748" t="s">
        <v>716</v>
      </c>
      <c r="FJ1718" s="748" t="s">
        <v>3687</v>
      </c>
      <c r="FK1718" s="748" t="s">
        <v>3688</v>
      </c>
      <c r="FL1718" s="748" t="s">
        <v>3689</v>
      </c>
      <c r="FM1718" s="748" t="s">
        <v>3690</v>
      </c>
      <c r="FN1718" s="748" t="s">
        <v>716</v>
      </c>
      <c r="FO1718" s="748" t="s">
        <v>3687</v>
      </c>
      <c r="FP1718" s="748" t="s">
        <v>3688</v>
      </c>
      <c r="FQ1718" s="748" t="s">
        <v>3689</v>
      </c>
      <c r="FR1718" s="748" t="s">
        <v>3690</v>
      </c>
      <c r="FS1718" s="748" t="s">
        <v>716</v>
      </c>
      <c r="FT1718" s="748" t="s">
        <v>3687</v>
      </c>
      <c r="FU1718" s="748" t="s">
        <v>3688</v>
      </c>
      <c r="FV1718" s="748" t="s">
        <v>3689</v>
      </c>
      <c r="FW1718" s="748" t="s">
        <v>3690</v>
      </c>
      <c r="FX1718" s="748" t="s">
        <v>716</v>
      </c>
      <c r="FY1718" s="748" t="s">
        <v>3687</v>
      </c>
      <c r="FZ1718" s="748" t="s">
        <v>3688</v>
      </c>
      <c r="GA1718" s="748" t="s">
        <v>3689</v>
      </c>
      <c r="GB1718" s="748" t="s">
        <v>3690</v>
      </c>
      <c r="GC1718" s="748" t="s">
        <v>716</v>
      </c>
      <c r="GD1718" s="748" t="s">
        <v>3687</v>
      </c>
      <c r="GE1718" s="748" t="s">
        <v>3688</v>
      </c>
      <c r="GF1718" s="748" t="s">
        <v>3689</v>
      </c>
      <c r="GG1718" s="748" t="s">
        <v>3690</v>
      </c>
      <c r="GH1718" s="748" t="s">
        <v>716</v>
      </c>
      <c r="GI1718" s="748" t="s">
        <v>3687</v>
      </c>
      <c r="GJ1718" s="748" t="s">
        <v>3688</v>
      </c>
      <c r="GK1718" s="748" t="s">
        <v>3689</v>
      </c>
      <c r="GL1718" s="748" t="s">
        <v>3690</v>
      </c>
    </row>
    <row r="1719" spans="1:219" ht="12.6" customHeight="1">
      <c r="T1719" s="748" t="s">
        <v>1513</v>
      </c>
      <c r="U1719" s="748" t="s">
        <v>1247</v>
      </c>
      <c r="V1719" s="748" t="s">
        <v>1248</v>
      </c>
      <c r="W1719" s="748" t="s">
        <v>1249</v>
      </c>
      <c r="X1719" s="748" t="s">
        <v>1250</v>
      </c>
      <c r="Y1719" s="748" t="s">
        <v>1514</v>
      </c>
      <c r="Z1719" s="748" t="s">
        <v>3453</v>
      </c>
      <c r="AA1719" s="748" t="s">
        <v>3454</v>
      </c>
      <c r="AB1719" s="748" t="s">
        <v>3455</v>
      </c>
      <c r="AC1719" s="748" t="s">
        <v>3456</v>
      </c>
      <c r="AD1719" s="748" t="s">
        <v>1515</v>
      </c>
      <c r="AE1719" s="748" t="s">
        <v>3457</v>
      </c>
      <c r="AF1719" s="748" t="s">
        <v>3458</v>
      </c>
      <c r="AG1719" s="748" t="s">
        <v>3459</v>
      </c>
      <c r="AH1719" s="748" t="s">
        <v>3460</v>
      </c>
      <c r="AI1719" s="748" t="s">
        <v>152</v>
      </c>
      <c r="AJ1719" s="748" t="s">
        <v>3461</v>
      </c>
      <c r="AK1719" s="748" t="s">
        <v>3462</v>
      </c>
      <c r="AL1719" s="748" t="s">
        <v>3463</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3677</v>
      </c>
      <c r="BS1719" s="748" t="s">
        <v>3678</v>
      </c>
      <c r="BT1719" s="748" t="s">
        <v>3679</v>
      </c>
      <c r="BU1719" s="748" t="s">
        <v>3680</v>
      </c>
      <c r="BV1719" s="748" t="s">
        <v>3681</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3676</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3322</v>
      </c>
      <c r="EK1719" s="748" t="s">
        <v>3323</v>
      </c>
      <c r="EL1719" s="748" t="s">
        <v>3324</v>
      </c>
      <c r="EM1719" s="748" t="s">
        <v>2213</v>
      </c>
      <c r="EN1719" s="748" t="s">
        <v>2214</v>
      </c>
      <c r="EO1719" s="748" t="s">
        <v>29</v>
      </c>
      <c r="EP1719" s="748" t="s">
        <v>30</v>
      </c>
      <c r="EQ1719" s="748" t="s">
        <v>31</v>
      </c>
      <c r="ER1719" s="748" t="s">
        <v>32</v>
      </c>
      <c r="ES1719" s="748" t="s">
        <v>33</v>
      </c>
      <c r="GM1719" s="748" t="s">
        <v>2528</v>
      </c>
      <c r="GN1719" s="748" t="s">
        <v>3812</v>
      </c>
      <c r="GO1719" s="748" t="s">
        <v>3813</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2" customHeight="1">
      <c r="B1720" s="748" t="s">
        <v>2899</v>
      </c>
      <c r="G1720" s="748">
        <f>'Part VI-Revenues &amp; Expenses'!G5</f>
        <v>0</v>
      </c>
      <c r="P1720" s="748" t="s">
        <v>1658</v>
      </c>
    </row>
    <row r="1721" spans="1:219" ht="13.2" customHeight="1">
      <c r="B1721" s="748" t="s">
        <v>2839</v>
      </c>
      <c r="G1721" s="748" t="str">
        <f>'Part VI-Revenues &amp; Expenses'!G6</f>
        <v>No</v>
      </c>
      <c r="J1721" s="748" t="s">
        <v>3646</v>
      </c>
      <c r="P1721" s="748">
        <f>VLOOKUP('Part I-Project Information'!$J$26,'DCA Underwriting Assumptions'!$C$77:$D$187,2)</f>
        <v>68300</v>
      </c>
    </row>
    <row r="1722" spans="1:219" ht="13.95" customHeight="1">
      <c r="A1722" s="748" t="str">
        <f>IF(A1763&gt;0,"Finish!","")</f>
        <v/>
      </c>
      <c r="J1722" s="748" t="s">
        <v>3647</v>
      </c>
    </row>
    <row r="1723" spans="1:219" ht="13.95" customHeight="1">
      <c r="B1723" s="748" t="s">
        <v>2212</v>
      </c>
      <c r="C1723" s="748" t="s">
        <v>228</v>
      </c>
      <c r="D1723" s="748" t="s">
        <v>839</v>
      </c>
      <c r="E1723" s="748" t="s">
        <v>2210</v>
      </c>
      <c r="F1723" s="748" t="s">
        <v>2210</v>
      </c>
      <c r="G1723" s="748" t="s">
        <v>3618</v>
      </c>
      <c r="H1723" s="748" t="s">
        <v>3616</v>
      </c>
      <c r="I1723" s="748" t="s">
        <v>1380</v>
      </c>
      <c r="J1723" s="748" t="s">
        <v>4047</v>
      </c>
      <c r="K1723" s="748" t="s">
        <v>186</v>
      </c>
      <c r="M1723" s="748" t="s">
        <v>3573</v>
      </c>
      <c r="N1723" s="748" t="s">
        <v>825</v>
      </c>
      <c r="O1723" s="748" t="s">
        <v>487</v>
      </c>
      <c r="P1723" s="748" t="s">
        <v>1665</v>
      </c>
      <c r="ET1723" s="748" t="s">
        <v>2187</v>
      </c>
      <c r="EU1723" s="748" t="s">
        <v>3687</v>
      </c>
      <c r="EV1723" s="748" t="s">
        <v>3688</v>
      </c>
      <c r="EW1723" s="748" t="s">
        <v>3689</v>
      </c>
      <c r="EX1723" s="748" t="s">
        <v>3690</v>
      </c>
      <c r="EY1723" s="748" t="s">
        <v>3777</v>
      </c>
      <c r="EZ1723" s="748" t="s">
        <v>3777</v>
      </c>
      <c r="FA1723" s="748" t="s">
        <v>3777</v>
      </c>
      <c r="FB1723" s="748" t="s">
        <v>3777</v>
      </c>
      <c r="FC1723" s="748" t="s">
        <v>3777</v>
      </c>
      <c r="FD1723" s="748" t="s">
        <v>716</v>
      </c>
      <c r="FE1723" s="748" t="s">
        <v>3687</v>
      </c>
      <c r="FF1723" s="748" t="s">
        <v>3688</v>
      </c>
      <c r="FG1723" s="748" t="s">
        <v>3689</v>
      </c>
      <c r="FH1723" s="748" t="s">
        <v>3690</v>
      </c>
      <c r="FI1723" s="748" t="s">
        <v>3779</v>
      </c>
      <c r="FJ1723" s="748" t="s">
        <v>3779</v>
      </c>
      <c r="FK1723" s="748" t="s">
        <v>3779</v>
      </c>
      <c r="FL1723" s="748" t="s">
        <v>3779</v>
      </c>
      <c r="FM1723" s="748" t="s">
        <v>3779</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5" customHeight="1">
      <c r="B1724" s="748" t="s">
        <v>1996</v>
      </c>
      <c r="C1724" s="748" t="s">
        <v>227</v>
      </c>
      <c r="D1724" s="748" t="s">
        <v>229</v>
      </c>
      <c r="E1724" s="748" t="s">
        <v>2211</v>
      </c>
      <c r="F1724" s="748" t="s">
        <v>1963</v>
      </c>
      <c r="G1724" s="748" t="s">
        <v>1964</v>
      </c>
      <c r="H1724" s="748" t="s">
        <v>3617</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3776</v>
      </c>
      <c r="EV1724" s="748" t="s">
        <v>3776</v>
      </c>
      <c r="EW1724" s="748" t="s">
        <v>3776</v>
      </c>
      <c r="EX1724" s="748" t="s">
        <v>3776</v>
      </c>
      <c r="FD1724" s="748" t="s">
        <v>3778</v>
      </c>
      <c r="FE1724" s="748" t="s">
        <v>3778</v>
      </c>
      <c r="FF1724" s="748" t="s">
        <v>3778</v>
      </c>
      <c r="FG1724" s="748" t="s">
        <v>3778</v>
      </c>
      <c r="FH1724" s="748" t="s">
        <v>3778</v>
      </c>
    </row>
    <row r="1725" spans="1:219" ht="13.2" customHeight="1">
      <c r="A1725" s="748" t="str">
        <f>IF(AND(E1725&gt;0,OR(B1725="",C1725="",D1725="",F1725="",G1725="", H1725="",M1725="",N1725="",O1725="")),1,"")</f>
        <v/>
      </c>
      <c r="B1725" s="748" t="str">
        <f>'Part VI-Revenues &amp; Expenses'!B10</f>
        <v>50% AMI</v>
      </c>
      <c r="C1725" s="748">
        <f>'Part VI-Revenues &amp; Expenses'!C10</f>
        <v>2</v>
      </c>
      <c r="D1725" s="748">
        <f>'Part VI-Revenues &amp; Expenses'!D10</f>
        <v>2</v>
      </c>
      <c r="E1725" s="748">
        <f>'Part VI-Revenues &amp; Expenses'!E10</f>
        <v>9</v>
      </c>
      <c r="F1725" s="748">
        <f>'Part VI-Revenues &amp; Expenses'!F10</f>
        <v>1200</v>
      </c>
      <c r="G1725" s="748">
        <f>'Part VI-Revenues &amp; Expenses'!G10</f>
        <v>673</v>
      </c>
      <c r="H1725" s="748">
        <f>'Part VI-Revenues &amp; Expenses'!H10</f>
        <v>660</v>
      </c>
      <c r="I1725" s="748">
        <f>'Part VI-Revenues &amp; Expenses'!I10</f>
        <v>195</v>
      </c>
      <c r="J1725" s="748">
        <f>'Part VI-Revenues &amp; Expenses'!J10</f>
        <v>0</v>
      </c>
      <c r="K1725" s="748">
        <f>MAX(0,H1725-I1725)</f>
        <v>465</v>
      </c>
      <c r="L1725" s="748">
        <f t="shared" ref="L1725:L1762" si="99">MAX(0,E1725*K1725)</f>
        <v>4185</v>
      </c>
      <c r="M1725" s="748" t="str">
        <f>'Part VI-Revenues &amp; Expenses'!M10</f>
        <v>No</v>
      </c>
      <c r="N1725" s="748" t="str">
        <f>'Part VI-Revenues &amp; Expenses'!N10</f>
        <v>1-Story</v>
      </c>
      <c r="O1725" s="748" t="str">
        <f>'Part VI-Revenues &amp; Expenses'!O10</f>
        <v>New Construction</v>
      </c>
      <c r="P1725" s="748">
        <f>'Part VI-Revenues &amp; Expenses'!P10</f>
        <v>26400</v>
      </c>
      <c r="Q1725" s="748">
        <f>'Part VI-Revenues &amp; Expenses'!Q10</f>
        <v>0.42947779404587605</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f t="shared" ref="AA1725:AA1762" si="107">IF(AND(C1725=2,B1725="50% AMI",NOT(M1725="Common")),E1725,"")</f>
        <v>9</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f t="shared" ref="CD1725:CD1762" si="132">IF(OR(AND(C1725=2,B1725="50% AMI",NOT(M1725="Common")),AND(C1725=2,B1725="HOME 50% AMI",NOT(M1725="Common"))),E1725*F1725,"")</f>
        <v>10800</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f t="shared" ref="DC1725:DC1762" si="157">IF(AND($C1725=2, $O1725="New Construction",NOT($B1725="Unrestricted"),NOT($B1725="NSP 120% AMI"),NOT($B1725="N/A-CS"),NOT($M1725="Common")),$E1725,"")</f>
        <v>9</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f t="shared" ref="EV1725:EV1762" si="202">IF(AND($C1725=2, NOT(OR($N1725="SF Detached",$N1725="Mfd Home",$N1725="Duplex",$N1725="Townhome"))),$E1725,"")</f>
        <v>9</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f t="shared" ref="FU1725:FU1762" si="227">IF(AND($C1725=2, $N1725="1-Story"),$E1725,"")</f>
        <v>9</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60% AMI</v>
      </c>
      <c r="C1726" s="748">
        <f>'Part VI-Revenues &amp; Expenses'!C11</f>
        <v>2</v>
      </c>
      <c r="D1726" s="748">
        <f>'Part VI-Revenues &amp; Expenses'!D11</f>
        <v>2</v>
      </c>
      <c r="E1726" s="748">
        <f>'Part VI-Revenues &amp; Expenses'!E11</f>
        <v>51</v>
      </c>
      <c r="F1726" s="748">
        <f>'Part VI-Revenues &amp; Expenses'!F11</f>
        <v>1200</v>
      </c>
      <c r="G1726" s="748">
        <f>'Part VI-Revenues &amp; Expenses'!G11</f>
        <v>808</v>
      </c>
      <c r="H1726" s="748">
        <f>'Part VI-Revenues &amp; Expenses'!H11</f>
        <v>660</v>
      </c>
      <c r="I1726" s="748">
        <f>'Part VI-Revenues &amp; Expenses'!I11</f>
        <v>195</v>
      </c>
      <c r="J1726" s="748">
        <f>'Part VI-Revenues &amp; Expenses'!J11</f>
        <v>0</v>
      </c>
      <c r="K1726" s="748">
        <f t="shared" ref="K1726:K1742" si="271">MAX(0,H1726-I1726)</f>
        <v>465</v>
      </c>
      <c r="L1726" s="748">
        <f t="shared" si="99"/>
        <v>23715</v>
      </c>
      <c r="M1726" s="748" t="str">
        <f>'Part VI-Revenues &amp; Expenses'!M11</f>
        <v>No</v>
      </c>
      <c r="N1726" s="748" t="str">
        <f>'Part VI-Revenues &amp; Expenses'!N11</f>
        <v>1-Story</v>
      </c>
      <c r="O1726" s="748" t="str">
        <f>'Part VI-Revenues &amp; Expenses'!O11</f>
        <v>New Construction</v>
      </c>
      <c r="P1726" s="748">
        <f>'Part VI-Revenues &amp; Expenses'!P11</f>
        <v>26400</v>
      </c>
      <c r="Q1726" s="748">
        <f>'Part VI-Revenues &amp; Expenses'!Q11</f>
        <v>0.42947779404587605</v>
      </c>
      <c r="R1726" s="748">
        <f>'Part VI-Revenues &amp; Expenses'!R11</f>
        <v>0</v>
      </c>
      <c r="T1726" s="748" t="str">
        <f t="shared" si="100"/>
        <v/>
      </c>
      <c r="U1726" s="748" t="str">
        <f t="shared" si="101"/>
        <v/>
      </c>
      <c r="V1726" s="748">
        <f t="shared" si="102"/>
        <v>51</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f t="shared" si="127"/>
        <v>61200</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51</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51</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f t="shared" si="227"/>
        <v>51</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f>'Part VI-Revenues &amp; Expenses'!B12</f>
        <v>0</v>
      </c>
      <c r="C1727" s="748">
        <f>'Part VI-Revenues &amp; Expenses'!C12</f>
        <v>0</v>
      </c>
      <c r="D1727" s="748">
        <f>'Part VI-Revenues &amp; Expenses'!D12</f>
        <v>0</v>
      </c>
      <c r="E1727" s="748">
        <f>'Part VI-Revenues &amp; Expenses'!E12</f>
        <v>0</v>
      </c>
      <c r="F1727" s="748">
        <f>'Part VI-Revenues &amp; Expenses'!F12</f>
        <v>0</v>
      </c>
      <c r="G1727" s="748">
        <f>'Part VI-Revenues &amp; Expenses'!G12</f>
        <v>0</v>
      </c>
      <c r="H1727" s="748">
        <f>'Part VI-Revenues &amp; Expenses'!H12</f>
        <v>0</v>
      </c>
      <c r="I1727" s="748">
        <f>'Part VI-Revenues &amp; Expenses'!I12</f>
        <v>0</v>
      </c>
      <c r="J1727" s="748">
        <f>'Part VI-Revenues &amp; Expenses'!J12</f>
        <v>0</v>
      </c>
      <c r="K1727" s="748">
        <f t="shared" si="271"/>
        <v>0</v>
      </c>
      <c r="L1727" s="748">
        <f t="shared" si="99"/>
        <v>0</v>
      </c>
      <c r="M1727" s="748">
        <f>'Part VI-Revenues &amp; Expenses'!M12</f>
        <v>0</v>
      </c>
      <c r="N1727" s="748">
        <f>'Part VI-Revenues &amp; Expenses'!N12</f>
        <v>0</v>
      </c>
      <c r="O1727" s="748">
        <f>'Part VI-Revenues &amp; Expenses'!O12</f>
        <v>0</v>
      </c>
      <c r="P1727" s="748" t="str">
        <f>'Part VI-Revenues &amp; Expenses'!P12</f>
        <v/>
      </c>
      <c r="Q1727" s="748" t="str">
        <f>'Part VI-Revenues &amp; Expenses'!Q12</f>
        <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1634</v>
      </c>
      <c r="E1763" s="748">
        <f>SUM(E1725:E1762)</f>
        <v>60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72000</v>
      </c>
      <c r="K1763" s="748" t="s">
        <v>2002</v>
      </c>
      <c r="L1763" s="748">
        <f>SUM(L1725:L1762)</f>
        <v>27900</v>
      </c>
      <c r="T1763" s="748">
        <f t="shared" ref="T1763:CE1763" si="304">SUM(T1725:T1762)</f>
        <v>0</v>
      </c>
      <c r="U1763" s="748">
        <f t="shared" si="304"/>
        <v>0</v>
      </c>
      <c r="V1763" s="748">
        <f t="shared" si="304"/>
        <v>51</v>
      </c>
      <c r="W1763" s="748">
        <f t="shared" si="304"/>
        <v>0</v>
      </c>
      <c r="X1763" s="748">
        <f t="shared" si="304"/>
        <v>0</v>
      </c>
      <c r="Y1763" s="748">
        <f t="shared" si="304"/>
        <v>0</v>
      </c>
      <c r="Z1763" s="748">
        <f t="shared" si="304"/>
        <v>0</v>
      </c>
      <c r="AA1763" s="748">
        <f t="shared" si="304"/>
        <v>9</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61200</v>
      </c>
      <c r="BZ1763" s="748">
        <f t="shared" si="304"/>
        <v>0</v>
      </c>
      <c r="CA1763" s="748">
        <f t="shared" si="304"/>
        <v>0</v>
      </c>
      <c r="CB1763" s="748">
        <f t="shared" si="304"/>
        <v>0</v>
      </c>
      <c r="CC1763" s="748">
        <f t="shared" si="304"/>
        <v>0</v>
      </c>
      <c r="CD1763" s="748">
        <f t="shared" si="304"/>
        <v>10800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60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60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60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1396</v>
      </c>
      <c r="L1764" s="748">
        <f>L1763*12</f>
        <v>334800</v>
      </c>
    </row>
    <row r="1765" spans="1:219" ht="6" customHeight="1"/>
    <row r="1766" spans="1:219" ht="14.4" customHeight="1">
      <c r="A1766" s="748" t="s">
        <v>4048</v>
      </c>
    </row>
    <row r="1767" spans="1:219" ht="14.4" customHeight="1"/>
    <row r="1768" spans="1:219" ht="2.4" customHeight="1"/>
    <row r="1769" spans="1:219" ht="14.4" customHeight="1">
      <c r="A1769" s="748" t="s">
        <v>1229</v>
      </c>
      <c r="B1769" s="748" t="s">
        <v>827</v>
      </c>
      <c r="Q1769" s="748" t="str">
        <f>IF(SUM(Q1772:Q1813)&gt;0,"ERROR Between Rent Schedule &amp; Unit Summary:", "")</f>
        <v/>
      </c>
      <c r="R1769" s="748" t="s">
        <v>1229</v>
      </c>
      <c r="S1769" s="748" t="s">
        <v>827</v>
      </c>
    </row>
    <row r="1770" spans="1:219" ht="3" customHeight="1"/>
    <row r="1771" spans="1:219" ht="14.4"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0</v>
      </c>
      <c r="J1772" s="748">
        <f>V1763</f>
        <v>51</v>
      </c>
      <c r="K1772" s="748">
        <f>W1763</f>
        <v>0</v>
      </c>
      <c r="L1772" s="748">
        <f>X1763</f>
        <v>0</v>
      </c>
      <c r="M1772" s="748">
        <f t="shared" ref="M1772:M1778" si="308">SUM(H1772:L1772)</f>
        <v>51</v>
      </c>
      <c r="N1772" s="748" t="s">
        <v>1483</v>
      </c>
      <c r="Q1772" s="748">
        <f t="shared" ref="Q1772:Q1778" si="309">ABS(M1772-AD1772)</f>
        <v>0</v>
      </c>
      <c r="T1772" s="748" t="s">
        <v>1778</v>
      </c>
      <c r="X1772" s="748" t="s">
        <v>1791</v>
      </c>
      <c r="Y1772" s="748">
        <f>T1763</f>
        <v>0</v>
      </c>
      <c r="Z1772" s="748">
        <f>U1763</f>
        <v>0</v>
      </c>
      <c r="AA1772" s="748">
        <f>V1763</f>
        <v>51</v>
      </c>
      <c r="AB1772" s="748">
        <f>W1763</f>
        <v>0</v>
      </c>
      <c r="AC1772" s="748">
        <f>X1763</f>
        <v>0</v>
      </c>
      <c r="AD1772" s="748">
        <f t="shared" ref="AD1772:AD1778" si="310">SUM(Y1772:AC1772)</f>
        <v>51</v>
      </c>
      <c r="AE1772" s="748" t="s">
        <v>1555</v>
      </c>
    </row>
    <row r="1773" spans="1:219" ht="15" customHeight="1">
      <c r="A1773" s="748" t="s">
        <v>652</v>
      </c>
      <c r="G1773" s="748" t="s">
        <v>133</v>
      </c>
      <c r="H1773" s="748">
        <f>Y1763</f>
        <v>0</v>
      </c>
      <c r="I1773" s="748">
        <f>Z1763</f>
        <v>0</v>
      </c>
      <c r="J1773" s="748">
        <f>AA1763</f>
        <v>9</v>
      </c>
      <c r="K1773" s="748">
        <f>AB1763</f>
        <v>0</v>
      </c>
      <c r="L1773" s="748">
        <f>AC1763</f>
        <v>0</v>
      </c>
      <c r="M1773" s="748">
        <f t="shared" si="308"/>
        <v>9</v>
      </c>
      <c r="Q1773" s="748">
        <f t="shared" si="309"/>
        <v>0</v>
      </c>
      <c r="X1773" s="748" t="s">
        <v>133</v>
      </c>
      <c r="Y1773" s="748">
        <f>Y1763</f>
        <v>0</v>
      </c>
      <c r="Z1773" s="748">
        <f>Z1763</f>
        <v>0</v>
      </c>
      <c r="AA1773" s="748">
        <f>AA1763</f>
        <v>9</v>
      </c>
      <c r="AB1773" s="748">
        <f>AB1763</f>
        <v>0</v>
      </c>
      <c r="AC1773" s="748">
        <f>AC1763</f>
        <v>0</v>
      </c>
      <c r="AD1773" s="748">
        <f t="shared" si="310"/>
        <v>9</v>
      </c>
    </row>
    <row r="1774" spans="1:219" ht="15" customHeight="1">
      <c r="G1774" s="748" t="s">
        <v>832</v>
      </c>
      <c r="H1774" s="748">
        <f>SUM(H1772:H1773)</f>
        <v>0</v>
      </c>
      <c r="I1774" s="748">
        <f>SUM(I1772:I1773)</f>
        <v>0</v>
      </c>
      <c r="J1774" s="748">
        <f>SUM(J1772:J1773)</f>
        <v>60</v>
      </c>
      <c r="K1774" s="748">
        <f>SUM(K1772:K1773)</f>
        <v>0</v>
      </c>
      <c r="L1774" s="748">
        <f>SUM(L1772:L1773)</f>
        <v>0</v>
      </c>
      <c r="M1774" s="748">
        <f t="shared" si="308"/>
        <v>60</v>
      </c>
      <c r="Q1774" s="748">
        <f t="shared" si="309"/>
        <v>0</v>
      </c>
      <c r="X1774" s="748" t="s">
        <v>832</v>
      </c>
      <c r="Y1774" s="748">
        <f>SUM(Y1772:Y1773)</f>
        <v>0</v>
      </c>
      <c r="Z1774" s="748">
        <f>SUM(Z1772:Z1773)</f>
        <v>0</v>
      </c>
      <c r="AA1774" s="748">
        <f>SUM(AA1772:AA1773)</f>
        <v>60</v>
      </c>
      <c r="AB1774" s="748">
        <f>SUM(AB1772:AB1773)</f>
        <v>0</v>
      </c>
      <c r="AC1774" s="748">
        <f>SUM(AC1772:AC1773)</f>
        <v>0</v>
      </c>
      <c r="AD1774" s="748">
        <f t="shared" si="310"/>
        <v>60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0</v>
      </c>
      <c r="J1776" s="748">
        <f>SUM(J1774:J1775)</f>
        <v>60</v>
      </c>
      <c r="K1776" s="748">
        <f>SUM(K1774:K1775)</f>
        <v>0</v>
      </c>
      <c r="L1776" s="748">
        <f>SUM(L1774:L1775)</f>
        <v>0</v>
      </c>
      <c r="M1776" s="748">
        <f t="shared" si="308"/>
        <v>60</v>
      </c>
      <c r="Q1776" s="748">
        <f t="shared" si="309"/>
        <v>0</v>
      </c>
      <c r="T1776" s="748" t="s">
        <v>1779</v>
      </c>
      <c r="Y1776" s="748">
        <f>SUM(Y1774:Y1775)</f>
        <v>0</v>
      </c>
      <c r="Z1776" s="748">
        <f>SUM(Z1774:Z1775)</f>
        <v>0</v>
      </c>
      <c r="AA1776" s="748">
        <f>SUM(AA1774:AA1775)</f>
        <v>60</v>
      </c>
      <c r="AB1776" s="748">
        <f>SUM(AB1774:AB1775)</f>
        <v>0</v>
      </c>
      <c r="AC1776" s="748">
        <f>SUM(AC1774:AC1775)</f>
        <v>0</v>
      </c>
      <c r="AD1776" s="748">
        <f t="shared" si="310"/>
        <v>60</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0</v>
      </c>
      <c r="J1778" s="748">
        <f>SUM(J1776:J1777)</f>
        <v>60</v>
      </c>
      <c r="K1778" s="748">
        <f>SUM(K1776:K1777)</f>
        <v>0</v>
      </c>
      <c r="L1778" s="748">
        <f>SUM(L1776:L1777)</f>
        <v>0</v>
      </c>
      <c r="M1778" s="748">
        <f t="shared" si="308"/>
        <v>60</v>
      </c>
      <c r="Q1778" s="748">
        <f t="shared" si="309"/>
        <v>0</v>
      </c>
      <c r="T1778" s="748" t="s">
        <v>832</v>
      </c>
      <c r="Y1778" s="748">
        <f>SUM(Y1776:Y1777)</f>
        <v>0</v>
      </c>
      <c r="Z1778" s="748">
        <f>SUM(Z1776:Z1777)</f>
        <v>0</v>
      </c>
      <c r="AA1778" s="748">
        <f>SUM(AA1776:AA1777)</f>
        <v>60</v>
      </c>
      <c r="AB1778" s="748">
        <f>SUM(AB1776:AB1777)</f>
        <v>0</v>
      </c>
      <c r="AC1778" s="748">
        <f>SUM(AC1776:AC1777)</f>
        <v>0</v>
      </c>
      <c r="AD1778" s="748">
        <f t="shared" si="310"/>
        <v>60</v>
      </c>
    </row>
    <row r="1779" spans="3:31" ht="14.4"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44</v>
      </c>
      <c r="T1787" s="748" t="s">
        <v>3236</v>
      </c>
    </row>
    <row r="1788" spans="3:31" ht="15" customHeight="1">
      <c r="E1788" s="748" t="s">
        <v>3436</v>
      </c>
      <c r="G1788" s="748" t="s">
        <v>2154</v>
      </c>
      <c r="H1788" s="748">
        <f>DA1763</f>
        <v>0</v>
      </c>
      <c r="I1788" s="748">
        <f>DB1763</f>
        <v>0</v>
      </c>
      <c r="J1788" s="748">
        <f>DC1763</f>
        <v>60</v>
      </c>
      <c r="K1788" s="748">
        <f>DD1763</f>
        <v>0</v>
      </c>
      <c r="L1788" s="748">
        <f>DE1763</f>
        <v>0</v>
      </c>
      <c r="M1788" s="748">
        <f t="shared" ref="M1788:M1798" si="311">SUM(H1788:L1788)</f>
        <v>60</v>
      </c>
      <c r="Q1788" s="748">
        <f t="shared" ref="Q1788:Q1796" si="312">ABS(M1788-AD1788)</f>
        <v>0</v>
      </c>
      <c r="V1788" s="748" t="s">
        <v>3436</v>
      </c>
      <c r="X1788" s="748" t="s">
        <v>2154</v>
      </c>
      <c r="Y1788" s="748">
        <f>DA1763</f>
        <v>0</v>
      </c>
      <c r="Z1788" s="748">
        <f>DB1763</f>
        <v>0</v>
      </c>
      <c r="AA1788" s="748">
        <f>DC1763</f>
        <v>60</v>
      </c>
      <c r="AB1788" s="748">
        <f>DD1763</f>
        <v>0</v>
      </c>
      <c r="AC1788" s="748">
        <f>DE1763</f>
        <v>0</v>
      </c>
      <c r="AD1788" s="748">
        <f t="shared" ref="AD1788:AD1796" si="313">SUM(Y1788:AC1788)</f>
        <v>60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60</v>
      </c>
      <c r="K1790" s="748">
        <f>SUM(K1788:K1789)+DN1763</f>
        <v>0</v>
      </c>
      <c r="L1790" s="748">
        <f>SUM(L1788:L1789)+DO1763</f>
        <v>0</v>
      </c>
      <c r="M1790" s="748">
        <f t="shared" si="311"/>
        <v>60</v>
      </c>
      <c r="Q1790" s="748">
        <f t="shared" si="312"/>
        <v>0</v>
      </c>
      <c r="X1790" s="748" t="s">
        <v>34</v>
      </c>
      <c r="Y1790" s="748">
        <f>SUM(Y1788:Y1789)+DK1763</f>
        <v>0</v>
      </c>
      <c r="Z1790" s="748">
        <f>SUM(Z1788:Z1789)+DL1763</f>
        <v>0</v>
      </c>
      <c r="AA1790" s="748">
        <f>SUM(AA1788:AA1789)+DM1763</f>
        <v>60</v>
      </c>
      <c r="AB1790" s="748">
        <f>SUM(AB1788:AB1789)+DN1763</f>
        <v>0</v>
      </c>
      <c r="AC1790" s="748">
        <f>SUM(AC1788:AC1789)+DO1763</f>
        <v>0</v>
      </c>
      <c r="AD1790" s="748">
        <f t="shared" si="313"/>
        <v>60</v>
      </c>
    </row>
    <row r="1791" spans="3:31" ht="15" customHeight="1">
      <c r="E1791" s="748" t="s">
        <v>3238</v>
      </c>
      <c r="G1791" s="748" t="s">
        <v>2154</v>
      </c>
      <c r="H1791" s="748">
        <f>DP1763</f>
        <v>0</v>
      </c>
      <c r="I1791" s="748">
        <f>DQ1763</f>
        <v>0</v>
      </c>
      <c r="J1791" s="748">
        <f>DR1763</f>
        <v>0</v>
      </c>
      <c r="K1791" s="748">
        <f>DS1763</f>
        <v>0</v>
      </c>
      <c r="L1791" s="748">
        <f>DT1763</f>
        <v>0</v>
      </c>
      <c r="M1791" s="748">
        <f t="shared" si="311"/>
        <v>0</v>
      </c>
      <c r="Q1791" s="748">
        <f t="shared" si="312"/>
        <v>0</v>
      </c>
      <c r="V1791" s="748" t="s">
        <v>3238</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3142</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45</v>
      </c>
      <c r="T1799" s="748" t="s">
        <v>45</v>
      </c>
    </row>
    <row r="1800" spans="2:30" ht="15" customHeight="1">
      <c r="E1800" s="748" t="s">
        <v>46</v>
      </c>
      <c r="H1800" s="748">
        <f>ET1763</f>
        <v>0</v>
      </c>
      <c r="I1800" s="748">
        <f>EU1763</f>
        <v>0</v>
      </c>
      <c r="J1800" s="748">
        <f>EV1763</f>
        <v>60</v>
      </c>
      <c r="K1800" s="748">
        <f>EW1763</f>
        <v>0</v>
      </c>
      <c r="L1800" s="748">
        <f>EX1763</f>
        <v>0</v>
      </c>
      <c r="M1800" s="748">
        <f>SUM(H1800:L1800)</f>
        <v>60</v>
      </c>
      <c r="Q1800" s="748">
        <f>ABS(M1800-AD1800)</f>
        <v>0</v>
      </c>
      <c r="V1800" s="748" t="s">
        <v>46</v>
      </c>
      <c r="Y1800" s="748">
        <f>ET1763</f>
        <v>0</v>
      </c>
      <c r="Z1800" s="748">
        <f>EU1763</f>
        <v>0</v>
      </c>
      <c r="AA1800" s="748">
        <f>EV1763</f>
        <v>60</v>
      </c>
      <c r="AB1800" s="748">
        <f>EW1763</f>
        <v>0</v>
      </c>
      <c r="AC1800" s="748">
        <f>EX1763</f>
        <v>0</v>
      </c>
      <c r="AD1800" s="748">
        <f>SUM(Y1800:AC1800)</f>
        <v>60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3270</v>
      </c>
      <c r="S1806" s="748" t="s">
        <v>1777</v>
      </c>
    </row>
    <row r="1807" spans="2:30" ht="15" customHeight="1">
      <c r="C1807" s="748" t="s">
        <v>3237</v>
      </c>
      <c r="G1807" s="748" t="s">
        <v>1791</v>
      </c>
      <c r="H1807" s="748">
        <f>BW1763</f>
        <v>0</v>
      </c>
      <c r="I1807" s="748">
        <f>BX1763</f>
        <v>0</v>
      </c>
      <c r="J1807" s="748">
        <f>BY1763</f>
        <v>61200</v>
      </c>
      <c r="K1807" s="748">
        <f>BZ1763</f>
        <v>0</v>
      </c>
      <c r="L1807" s="748">
        <f>CA1763</f>
        <v>0</v>
      </c>
      <c r="M1807" s="748">
        <f t="shared" ref="M1807:M1813" si="314">SUM(H1807:L1807)</f>
        <v>61200</v>
      </c>
      <c r="Q1807" s="748">
        <f t="shared" ref="Q1807:Q1813" si="315">ABS(M1807-AD1807)</f>
        <v>0</v>
      </c>
      <c r="T1807" s="748" t="s">
        <v>3237</v>
      </c>
      <c r="X1807" s="748" t="s">
        <v>1791</v>
      </c>
      <c r="Y1807" s="748">
        <f>BW1763</f>
        <v>0</v>
      </c>
      <c r="Z1807" s="748">
        <f>BX1763</f>
        <v>0</v>
      </c>
      <c r="AA1807" s="748">
        <f>BY1763</f>
        <v>61200</v>
      </c>
      <c r="AB1807" s="748">
        <f>BZ1763</f>
        <v>0</v>
      </c>
      <c r="AC1807" s="748">
        <f>CA1763</f>
        <v>0</v>
      </c>
      <c r="AD1807" s="748">
        <f t="shared" ref="AD1807:AD1813" si="316">SUM(Y1807:AC1807)</f>
        <v>61200</v>
      </c>
    </row>
    <row r="1808" spans="2:30" ht="15" customHeight="1">
      <c r="G1808" s="748" t="s">
        <v>133</v>
      </c>
      <c r="H1808" s="748">
        <f>CB1763</f>
        <v>0</v>
      </c>
      <c r="I1808" s="748">
        <f>CC1763</f>
        <v>0</v>
      </c>
      <c r="J1808" s="748">
        <f>CD1763</f>
        <v>10800</v>
      </c>
      <c r="K1808" s="748">
        <f>CE1763</f>
        <v>0</v>
      </c>
      <c r="L1808" s="748">
        <f>CF1763</f>
        <v>0</v>
      </c>
      <c r="M1808" s="748">
        <f t="shared" si="314"/>
        <v>10800</v>
      </c>
      <c r="Q1808" s="748">
        <f t="shared" si="315"/>
        <v>0</v>
      </c>
      <c r="X1808" s="748" t="s">
        <v>133</v>
      </c>
      <c r="Y1808" s="748">
        <f>CB1763</f>
        <v>0</v>
      </c>
      <c r="Z1808" s="748">
        <f>CC1763</f>
        <v>0</v>
      </c>
      <c r="AA1808" s="748">
        <f>CD1763</f>
        <v>10800</v>
      </c>
      <c r="AB1808" s="748">
        <f>CE1763</f>
        <v>0</v>
      </c>
      <c r="AC1808" s="748">
        <f>CF1763</f>
        <v>0</v>
      </c>
      <c r="AD1808" s="748">
        <f t="shared" si="316"/>
        <v>10800</v>
      </c>
    </row>
    <row r="1809" spans="1:30" ht="15" customHeight="1">
      <c r="G1809" s="748" t="s">
        <v>832</v>
      </c>
      <c r="H1809" s="748">
        <f>SUM(H1807:H1808)</f>
        <v>0</v>
      </c>
      <c r="I1809" s="748">
        <f>SUM(I1807:I1808)</f>
        <v>0</v>
      </c>
      <c r="J1809" s="748">
        <f>SUM(J1807:J1808)</f>
        <v>72000</v>
      </c>
      <c r="K1809" s="748">
        <f>SUM(K1807:K1808)</f>
        <v>0</v>
      </c>
      <c r="L1809" s="748">
        <f>SUM(L1807:L1808)</f>
        <v>0</v>
      </c>
      <c r="M1809" s="748">
        <f t="shared" si="314"/>
        <v>72000</v>
      </c>
      <c r="Q1809" s="748">
        <f t="shared" si="315"/>
        <v>0</v>
      </c>
      <c r="X1809" s="748" t="s">
        <v>832</v>
      </c>
      <c r="Y1809" s="748">
        <f>SUM(Y1807:Y1808)</f>
        <v>0</v>
      </c>
      <c r="Z1809" s="748">
        <f>SUM(Z1807:Z1808)</f>
        <v>0</v>
      </c>
      <c r="AA1809" s="748">
        <f>SUM(AA1807:AA1808)</f>
        <v>72000</v>
      </c>
      <c r="AB1809" s="748">
        <f>SUM(AB1807:AB1808)</f>
        <v>0</v>
      </c>
      <c r="AC1809" s="748">
        <f>SUM(AC1807:AC1808)</f>
        <v>0</v>
      </c>
      <c r="AD1809" s="748">
        <f t="shared" si="316"/>
        <v>72000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0</v>
      </c>
      <c r="J1811" s="748">
        <f>SUM(J1809:J1810)</f>
        <v>72000</v>
      </c>
      <c r="K1811" s="748">
        <f>SUM(K1809:K1810)</f>
        <v>0</v>
      </c>
      <c r="L1811" s="748">
        <f>SUM(L1809:L1810)</f>
        <v>0</v>
      </c>
      <c r="M1811" s="748">
        <f t="shared" si="314"/>
        <v>72000</v>
      </c>
      <c r="Q1811" s="748">
        <f t="shared" si="315"/>
        <v>0</v>
      </c>
      <c r="T1811" s="748" t="s">
        <v>1779</v>
      </c>
      <c r="Y1811" s="748">
        <f>SUM(Y1809:Y1810)</f>
        <v>0</v>
      </c>
      <c r="Z1811" s="748">
        <f>SUM(Z1809:Z1810)</f>
        <v>0</v>
      </c>
      <c r="AA1811" s="748">
        <f>SUM(AA1809:AA1810)</f>
        <v>72000</v>
      </c>
      <c r="AB1811" s="748">
        <f>SUM(AB1809:AB1810)</f>
        <v>0</v>
      </c>
      <c r="AC1811" s="748">
        <f>SUM(AC1809:AC1810)</f>
        <v>0</v>
      </c>
      <c r="AD1811" s="748">
        <f t="shared" si="316"/>
        <v>72000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0</v>
      </c>
      <c r="J1813" s="748">
        <f>SUM(J1811:J1812)</f>
        <v>72000</v>
      </c>
      <c r="K1813" s="748">
        <f>SUM(K1811:K1812)</f>
        <v>0</v>
      </c>
      <c r="L1813" s="748">
        <f>SUM(L1811:L1812)</f>
        <v>0</v>
      </c>
      <c r="M1813" s="748">
        <f t="shared" si="314"/>
        <v>72000</v>
      </c>
      <c r="Q1813" s="748">
        <f t="shared" si="315"/>
        <v>0</v>
      </c>
      <c r="T1813" s="748" t="s">
        <v>832</v>
      </c>
      <c r="Y1813" s="748">
        <f>SUM(Y1811:Y1812)</f>
        <v>0</v>
      </c>
      <c r="Z1813" s="748">
        <f>SUM(Z1811:Z1812)</f>
        <v>0</v>
      </c>
      <c r="AA1813" s="748">
        <f>SUM(AA1811:AA1812)</f>
        <v>72000</v>
      </c>
      <c r="AB1813" s="748">
        <f>SUM(AB1811:AB1812)</f>
        <v>0</v>
      </c>
      <c r="AC1813" s="748">
        <f>SUM(AC1811:AC1812)</f>
        <v>0</v>
      </c>
      <c r="AD1813" s="748">
        <f t="shared" si="316"/>
        <v>72000</v>
      </c>
    </row>
    <row r="1814" spans="1:30" ht="4.95" customHeight="1"/>
    <row r="1815" spans="1:30" ht="13.95" customHeight="1">
      <c r="A1815" s="748" t="s">
        <v>1231</v>
      </c>
      <c r="B1815" s="748" t="s">
        <v>4049</v>
      </c>
    </row>
    <row r="1816" spans="1:30" ht="9" customHeight="1"/>
    <row r="1817" spans="1:30" ht="12.6" customHeight="1">
      <c r="B1817" s="748" t="s">
        <v>1632</v>
      </c>
      <c r="G1817" s="748">
        <f>0.02*L1764</f>
        <v>6696</v>
      </c>
      <c r="I1817" s="748" t="s">
        <v>3753</v>
      </c>
    </row>
    <row r="1818" spans="1:30" ht="15" customHeight="1"/>
    <row r="1819" spans="1:30" ht="13.95" customHeight="1">
      <c r="B1819" s="748" t="s">
        <v>2169</v>
      </c>
    </row>
    <row r="1820" spans="1:30" ht="15" customHeight="1"/>
    <row r="1821" spans="1:30" ht="13.95"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4050</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4051</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5"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4050</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4051</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5"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4050</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4051</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2" customHeight="1">
      <c r="B1856" s="748" t="s">
        <v>1990</v>
      </c>
      <c r="I1856" s="748" t="s">
        <v>2079</v>
      </c>
      <c r="N1856" s="748" t="s">
        <v>2078</v>
      </c>
    </row>
    <row r="1857" spans="2:16" ht="15.6" customHeight="1">
      <c r="B1857" s="748" t="s">
        <v>3304</v>
      </c>
      <c r="F1857" s="748">
        <f>'Part VI-Revenues &amp; Expenses'!F142</f>
        <v>25000</v>
      </c>
      <c r="I1857" s="748" t="s">
        <v>2080</v>
      </c>
      <c r="K1857" s="748">
        <f>'Part VI-Revenues &amp; Expenses'!K142</f>
        <v>0</v>
      </c>
      <c r="N1857" s="748" t="s">
        <v>1524</v>
      </c>
      <c r="P1857" s="748">
        <f>'Part VI-Revenues &amp; Expenses'!P142</f>
        <v>34800</v>
      </c>
    </row>
    <row r="1858" spans="2:16" ht="15.6" customHeight="1">
      <c r="B1858" s="748" t="s">
        <v>2069</v>
      </c>
      <c r="F1858" s="748">
        <f>'Part VI-Revenues &amp; Expenses'!F143</f>
        <v>18000</v>
      </c>
      <c r="I1858" s="748" t="s">
        <v>2081</v>
      </c>
      <c r="K1858" s="748">
        <f>'Part VI-Revenues &amp; Expenses'!K143</f>
        <v>0</v>
      </c>
      <c r="N1858" s="748" t="s">
        <v>200</v>
      </c>
      <c r="P1858" s="748">
        <f>'Part VI-Revenues &amp; Expenses'!P143</f>
        <v>10672</v>
      </c>
    </row>
    <row r="1859" spans="2:16" ht="15.6" customHeight="1">
      <c r="B1859" s="748" t="s">
        <v>1916</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45472</v>
      </c>
    </row>
    <row r="1861" spans="2:16" ht="15.6" customHeight="1">
      <c r="C1861" s="748" t="s">
        <v>249</v>
      </c>
      <c r="F1861" s="748">
        <f>SUM(F1857:G1860)</f>
        <v>43000</v>
      </c>
    </row>
    <row r="1862" spans="2:16" ht="9" customHeight="1"/>
    <row r="1863" spans="2:16" ht="13.2" customHeight="1">
      <c r="B1863" s="748" t="s">
        <v>1991</v>
      </c>
      <c r="I1863" s="748" t="s">
        <v>1992</v>
      </c>
      <c r="N1863" s="748" t="s">
        <v>2082</v>
      </c>
      <c r="P1863" s="748">
        <f>IF(OR('Part VII-Pro Forma'!$B$20 = "Choose Mgt Fee",'Part VII-Pro Forma'!$B$20 = "Choose One!"), 0,- 'Part VII-Pro Forma'!$B$20)</f>
        <v>30171</v>
      </c>
    </row>
    <row r="1864" spans="2:16" ht="15.6" customHeight="1">
      <c r="B1864" s="748" t="s">
        <v>2074</v>
      </c>
      <c r="F1864" s="748">
        <f>'Part VI-Revenues &amp; Expenses'!F149</f>
        <v>6000</v>
      </c>
      <c r="I1864" s="748" t="s">
        <v>2364</v>
      </c>
      <c r="K1864" s="748">
        <f>'Part VI-Revenues &amp; Expenses'!K149</f>
        <v>2300</v>
      </c>
      <c r="N1864" s="748">
        <f>+P1863/(M1778*0.93)</f>
        <v>540.69892473118273</v>
      </c>
      <c r="O1864" s="748" t="s">
        <v>3863</v>
      </c>
    </row>
    <row r="1865" spans="2:16" ht="15.6" customHeight="1">
      <c r="B1865" s="748" t="s">
        <v>2075</v>
      </c>
      <c r="F1865" s="748">
        <f>'Part VI-Revenues &amp; Expenses'!F150</f>
        <v>4800</v>
      </c>
      <c r="I1865" s="748" t="s">
        <v>3141</v>
      </c>
      <c r="K1865" s="748">
        <f>'Part VI-Revenues &amp; Expenses'!K150</f>
        <v>8500</v>
      </c>
      <c r="N1865" s="748">
        <f>+P1863/(M1778*0.93)/12</f>
        <v>45.058243727598558</v>
      </c>
      <c r="O1865" s="748" t="s">
        <v>3864</v>
      </c>
    </row>
    <row r="1866" spans="2:16" ht="15.6" customHeight="1">
      <c r="B1866" s="748" t="s">
        <v>2076</v>
      </c>
      <c r="F1866" s="748">
        <f>'Part VI-Revenues &amp; Expenses'!F151</f>
        <v>2000</v>
      </c>
      <c r="I1866" s="748" t="s">
        <v>2365</v>
      </c>
      <c r="K1866" s="748">
        <f>'Part VI-Revenues &amp; Expenses'!K151</f>
        <v>1500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2362</v>
      </c>
      <c r="F1868" s="748">
        <f>'Part VI-Revenues &amp; Expenses'!F153</f>
        <v>0</v>
      </c>
      <c r="J1868" s="748" t="s">
        <v>249</v>
      </c>
      <c r="K1868" s="748">
        <f>SUM(K1864:K1867)</f>
        <v>12300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12800</v>
      </c>
    </row>
    <row r="1871" spans="2:16" ht="9" customHeight="1"/>
    <row r="1872" spans="2:16" ht="13.2" customHeight="1">
      <c r="B1872" s="748" t="s">
        <v>1993</v>
      </c>
      <c r="I1872" s="748" t="s">
        <v>2077</v>
      </c>
      <c r="J1872" s="748" t="s">
        <v>3555</v>
      </c>
      <c r="N1872" s="748" t="s">
        <v>3294</v>
      </c>
    </row>
    <row r="1873" spans="1:16" ht="15.6" customHeight="1">
      <c r="B1873" s="748" t="s">
        <v>2366</v>
      </c>
      <c r="F1873" s="748">
        <f>'Part VI-Revenues &amp; Expenses'!F158</f>
        <v>12500</v>
      </c>
      <c r="I1873" s="748" t="s">
        <v>2070</v>
      </c>
      <c r="J1873" s="748" t="e">
        <f>K1873/12/$M$63</f>
        <v>#DIV/0!</v>
      </c>
      <c r="K1873" s="748">
        <f>'Part VI-Revenues &amp; Expenses'!K158</f>
        <v>18000</v>
      </c>
      <c r="N1873" s="748" t="e">
        <f>+$P$158/$M$63</f>
        <v>#DIV/0!</v>
      </c>
      <c r="O1873" s="748" t="s">
        <v>2110</v>
      </c>
      <c r="P1873" s="748">
        <f>F1861+F1870+F1881+K1859+K1868+K1878+P1860+P1863</f>
        <v>240000</v>
      </c>
    </row>
    <row r="1874" spans="1:16" ht="15.6" customHeight="1">
      <c r="B1874" s="748" t="s">
        <v>2367</v>
      </c>
      <c r="F1874" s="748">
        <f>'Part VI-Revenues &amp; Expenses'!F159</f>
        <v>12500</v>
      </c>
      <c r="I1874" s="748" t="s">
        <v>2071</v>
      </c>
      <c r="J1874" s="748" t="e">
        <f>K1874/12/$M$63</f>
        <v>#DIV/0!</v>
      </c>
      <c r="K1874" s="748">
        <f>'Part VI-Revenues &amp; Expenses'!K159</f>
        <v>0</v>
      </c>
    </row>
    <row r="1875" spans="1:16" ht="15.6" customHeight="1">
      <c r="B1875" s="748" t="s">
        <v>2368</v>
      </c>
      <c r="F1875" s="748">
        <f>'Part VI-Revenues &amp; Expenses'!F160</f>
        <v>16500</v>
      </c>
      <c r="I1875" s="748" t="s">
        <v>3554</v>
      </c>
      <c r="J1875" s="748" t="e">
        <f>K1875/12/$M$63</f>
        <v>#DIV/0!</v>
      </c>
      <c r="K1875" s="748">
        <f>'Part VI-Revenues &amp; Expenses'!K160</f>
        <v>11000</v>
      </c>
    </row>
    <row r="1876" spans="1:16" ht="15.6" customHeight="1">
      <c r="B1876" s="748" t="s">
        <v>1616</v>
      </c>
      <c r="F1876" s="748">
        <f>'Part VI-Revenues &amp; Expenses'!F161</f>
        <v>2500</v>
      </c>
      <c r="I1876" s="748" t="s">
        <v>2073</v>
      </c>
      <c r="K1876" s="748">
        <f>'Part VI-Revenues &amp; Expenses'!K161</f>
        <v>8000</v>
      </c>
      <c r="N1876" s="748" t="s">
        <v>1922</v>
      </c>
      <c r="P1876" s="748">
        <f>P1877*M1778</f>
        <v>15000</v>
      </c>
    </row>
    <row r="1877" spans="1:16" ht="15.6" customHeight="1">
      <c r="B1877" s="748" t="s">
        <v>1617</v>
      </c>
      <c r="F1877" s="748">
        <f>'Part VI-Revenues &amp; Expenses'!F162</f>
        <v>7257</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0</v>
      </c>
      <c r="J1878" s="748" t="s">
        <v>249</v>
      </c>
      <c r="K1878" s="748">
        <f>SUM(K1873:K1877)</f>
        <v>37000</v>
      </c>
    </row>
    <row r="1879" spans="1:16" ht="15.6" customHeight="1">
      <c r="B1879" s="748" t="s">
        <v>1458</v>
      </c>
      <c r="F1879" s="748">
        <f>'Part VI-Revenues &amp; Expenses'!F164</f>
        <v>8000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59257</v>
      </c>
      <c r="P1881" s="748">
        <f>P1873+P1876</f>
        <v>255000</v>
      </c>
    </row>
    <row r="1882" spans="1:16" ht="10.95" customHeight="1"/>
    <row r="1883" spans="1:16" ht="12" customHeight="1">
      <c r="A1883" s="748" t="s">
        <v>2825</v>
      </c>
      <c r="B1883" s="748" t="s">
        <v>879</v>
      </c>
      <c r="K1883" s="748" t="s">
        <v>822</v>
      </c>
      <c r="L1883" s="748" t="s">
        <v>2898</v>
      </c>
    </row>
    <row r="1884" spans="1:16" ht="51.6" customHeight="1">
      <c r="A1884" s="748" t="str">
        <f>'Part VI-Revenues &amp; Expenses'!A169</f>
        <v>*To all Applicants: Real estate taxes shown in Operating Budget should be prior to any tax abatement.  Please provide methodology for real estate tax calculation.                                                                                                                                                                                                                      Please see Tab 8 for estimation of real estate taxes on comparable properties in same county.</v>
      </c>
      <c r="K1884" s="748">
        <f>'Part VI-Revenues &amp; Expenses'!K169</f>
        <v>0</v>
      </c>
    </row>
    <row r="1885" spans="1:16" ht="51.6" customHeight="1">
      <c r="A1885" s="748" t="str">
        <f>'Part VI-Revenues &amp; Expenses'!A170</f>
        <v>**To all Applicants: Please provide methodology for insurance calculation.                                                                                                                                                                     Please see Tab 8 for estimation of insurance</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2011-053 Hampton Court , ,  County</v>
      </c>
    </row>
    <row r="1891" spans="1:11">
      <c r="A1891" s="748" t="s">
        <v>100</v>
      </c>
      <c r="D1891" s="748" t="s">
        <v>90</v>
      </c>
      <c r="F1891" s="748" t="s">
        <v>4052</v>
      </c>
    </row>
    <row r="1893" spans="1:11">
      <c r="A1893" s="748" t="s">
        <v>3296</v>
      </c>
      <c r="B1893" s="748">
        <v>0.02</v>
      </c>
      <c r="D1893" s="748" t="s">
        <v>1365</v>
      </c>
      <c r="G1893" s="748">
        <f>'Part VII-Pro Forma'!G5</f>
        <v>5000</v>
      </c>
      <c r="H1893" s="748" t="s">
        <v>2972</v>
      </c>
      <c r="K1893" s="748" t="str">
        <f>IF(($B$14+$B$15+$B$16+$B$17)=0,"",-B1918/($B$14+$B$15+$B$16+$B$17))</f>
        <v/>
      </c>
    </row>
    <row r="1894" spans="1:11">
      <c r="A1894" s="748" t="s">
        <v>3297</v>
      </c>
      <c r="B1894" s="748">
        <v>0.03</v>
      </c>
      <c r="D1894" s="748" t="s">
        <v>1366</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f>'Part VII-Pro Forma'!G8</f>
        <v>0</v>
      </c>
      <c r="H1896" s="748" t="s">
        <v>2168</v>
      </c>
      <c r="K1896" s="748">
        <f>'Part VII-Pro Forma'!K8</f>
        <v>0</v>
      </c>
    </row>
    <row r="1897" spans="1:11">
      <c r="A1897" s="748" t="s">
        <v>2129</v>
      </c>
      <c r="B1897" s="748">
        <v>0.02</v>
      </c>
      <c r="D1897" s="748" t="s">
        <v>2743</v>
      </c>
      <c r="G1897" s="748" t="str">
        <f>'Part VII-Pro Forma'!G9</f>
        <v>Yes</v>
      </c>
      <c r="H1897" s="748" t="s">
        <v>3562</v>
      </c>
      <c r="K1897" s="748">
        <f>'Part VII-Pro Forma'!K9</f>
        <v>9.5000000000000001E-2</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1864</v>
      </c>
      <c r="B1919" s="748">
        <f>'Part VII-Pro Forma'!B31</f>
        <v>-19274.400000000001</v>
      </c>
      <c r="C1919" s="748">
        <f>'Part VII-Pro Forma'!C31</f>
        <v>-19274.400000000001</v>
      </c>
      <c r="D1919" s="748">
        <f>'Part VII-Pro Forma'!D31</f>
        <v>-19274.400000000001</v>
      </c>
      <c r="E1919" s="748">
        <f>'Part VII-Pro Forma'!E31</f>
        <v>-19274.400000000001</v>
      </c>
      <c r="F1919" s="748">
        <f>'Part VII-Pro Forma'!F31</f>
        <v>-19274.400000000001</v>
      </c>
      <c r="G1919" s="748">
        <f>'Part VII-Pro Forma'!G31</f>
        <v>-19274.400000000001</v>
      </c>
      <c r="H1919" s="748">
        <f>'Part VII-Pro Forma'!H31</f>
        <v>-19274.400000000001</v>
      </c>
      <c r="I1919" s="748">
        <f>'Part VII-Pro Forma'!I31</f>
        <v>-19274.400000000001</v>
      </c>
      <c r="J1919" s="748">
        <f>'Part VII-Pro Forma'!J31</f>
        <v>-19274.400000000001</v>
      </c>
      <c r="K1919" s="748">
        <f>'Part VII-Pro Forma'!K31</f>
        <v>-19274.400000000001</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-24274.400000000001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173469.6</v>
      </c>
      <c r="C1934" s="748">
        <f>'Part VII-Pro Forma'!C46</f>
        <v>154195.20000000001</v>
      </c>
      <c r="D1934" s="748">
        <f>'Part VII-Pro Forma'!D46</f>
        <v>134920.80000000002</v>
      </c>
      <c r="E1934" s="748">
        <f>'Part VII-Pro Forma'!E46</f>
        <v>115646.40000000002</v>
      </c>
      <c r="F1934" s="748">
        <f>'Part VII-Pro Forma'!F46</f>
        <v>96372.000000000029</v>
      </c>
      <c r="G1934" s="748">
        <f>'Part VII-Pro Forma'!G46</f>
        <v>77097.600000000035</v>
      </c>
      <c r="H1934" s="748">
        <f>'Part VII-Pro Forma'!H46</f>
        <v>57823.200000000033</v>
      </c>
      <c r="I1934" s="748">
        <f>'Part VII-Pro Forma'!I46</f>
        <v>38548.800000000032</v>
      </c>
      <c r="J1934" s="748">
        <f>'Part VII-Pro Forma'!J46</f>
        <v>19274.400000000031</v>
      </c>
      <c r="K1934" s="748">
        <f>'Part VII-Pro Forma'!K46</f>
        <v>2.9103830456733704E-11</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2.9103830456733704E-11</v>
      </c>
      <c r="C1969" s="748">
        <f>'Part VII-Pro Forma'!C81</f>
        <v>2.9103830456733704E-11</v>
      </c>
      <c r="D1969" s="748">
        <f>'Part VII-Pro Forma'!D81</f>
        <v>2.9103830456733704E-11</v>
      </c>
      <c r="E1969" s="748">
        <f>'Part VII-Pro Forma'!E81</f>
        <v>2.9103830456733704E-11</v>
      </c>
      <c r="F1969" s="748">
        <f>'Part VII-Pro Forma'!F81</f>
        <v>2.9103830456733704E-11</v>
      </c>
      <c r="G1969" s="748">
        <f>'Part VII-Pro Forma'!G81</f>
        <v>2.9103830456733704E-11</v>
      </c>
      <c r="H1969" s="748">
        <f>'Part VII-Pro Forma'!H81</f>
        <v>2.9103830456733704E-11</v>
      </c>
      <c r="I1969" s="748">
        <f>'Part VII-Pro Forma'!I81</f>
        <v>2.9103830456733704E-11</v>
      </c>
      <c r="J1969" s="748">
        <f>'Part VII-Pro Forma'!J81</f>
        <v>2.9103830456733704E-11</v>
      </c>
      <c r="K1969" s="748">
        <f>'Part VII-Pro Forma'!K81</f>
        <v>2.9103830456733704E-11</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2.9103830456733704E-11</v>
      </c>
      <c r="C2004" s="748">
        <f>'Part VII-Pro Forma'!C116</f>
        <v>2.9103830456733704E-11</v>
      </c>
      <c r="D2004" s="748">
        <f>'Part VII-Pro Forma'!D116</f>
        <v>2.9103830456733704E-11</v>
      </c>
      <c r="E2004" s="748">
        <f>'Part VII-Pro Forma'!E116</f>
        <v>2.9103830456733704E-11</v>
      </c>
      <c r="F2004" s="748">
        <f>'Part VII-Pro Forma'!F116</f>
        <v>2.9103830456733704E-11</v>
      </c>
      <c r="G2004" s="748">
        <f>'Part VII-Pro Forma'!G116</f>
        <v>2.9103830456733704E-11</v>
      </c>
      <c r="H2004" s="748">
        <f>'Part VII-Pro Forma'!H116</f>
        <v>2.9103830456733704E-11</v>
      </c>
      <c r="I2004" s="748">
        <f>'Part VII-Pro Forma'!I116</f>
        <v>2.9103830456733704E-11</v>
      </c>
      <c r="J2004" s="748">
        <f>'Part VII-Pro Forma'!J116</f>
        <v>2.9103830456733704E-11</v>
      </c>
      <c r="K2004" s="748">
        <f>'Part VII-Pro Forma'!K116</f>
        <v>2.9103830456733704E-11</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-5000</v>
      </c>
      <c r="C2023" s="748">
        <f>'Part VII-Pro Forma'!C135</f>
        <v>-5000</v>
      </c>
      <c r="D2023" s="748">
        <f>'Part VII-Pro Forma'!D135</f>
        <v>-5000</v>
      </c>
      <c r="E2023" s="748">
        <f>'Part VII-Pro Forma'!E135</f>
        <v>-5000</v>
      </c>
      <c r="F2023" s="748">
        <f>'Part VII-Pro Forma'!F135</f>
        <v>-5000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2.9103830456733704E-11</v>
      </c>
      <c r="C2039" s="748">
        <f>'Part VII-Pro Forma'!C151</f>
        <v>2.9103830456733704E-11</v>
      </c>
      <c r="D2039" s="748">
        <f>'Part VII-Pro Forma'!D151</f>
        <v>2.9103830456733704E-11</v>
      </c>
      <c r="E2039" s="748">
        <f>'Part VII-Pro Forma'!E151</f>
        <v>2.9103830456733704E-11</v>
      </c>
      <c r="F2039" s="748">
        <f>'Part VII-Pro Forma'!F151</f>
        <v>2.9103830456733704E-11</v>
      </c>
    </row>
    <row r="2041" spans="1:7">
      <c r="A2041" s="748" t="s">
        <v>878</v>
      </c>
      <c r="G2041" s="748" t="s">
        <v>1654</v>
      </c>
    </row>
    <row r="2043" spans="1:7">
      <c r="A2043" s="748" t="str">
        <f>'Part VII-Pro Forma'!A155</f>
        <v xml:space="preserve">The deferred developer fee will be paid out of available cash flow as in the matter set out in Tab 5 "Finance Commitment" under "Other financing Commitments". The proforma used a 10 year amortization of a 0% developer loan to demonstrate that even with the deferred fee payments, there is still a healthy cashflow cushion. </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2011-053 Hampton Court ,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1077</v>
      </c>
      <c r="O2079" s="748" t="s">
        <v>923</v>
      </c>
      <c r="P2079" s="748" t="str">
        <f>'Part VIII-Threshold Criteria'!P31</f>
        <v>No</v>
      </c>
      <c r="Q2079" s="748">
        <f>'Part VIII-Threshold Criteria'!Q31</f>
        <v>0</v>
      </c>
    </row>
    <row r="2080" spans="1:17">
      <c r="B2080" s="748" t="s">
        <v>3063</v>
      </c>
      <c r="C2080" s="748" t="s">
        <v>1078</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2923</v>
      </c>
      <c r="P2093" s="748">
        <f>'Part VIII-Threshold Criteria'!P45</f>
        <v>0</v>
      </c>
    </row>
    <row r="2095" spans="1:17">
      <c r="C2095" s="748" t="s">
        <v>113</v>
      </c>
      <c r="J2095" s="748" t="str">
        <f>'Part VIII-Threshold Criteria'!J47</f>
        <v>Senior (HFOP)</v>
      </c>
      <c r="P2095" s="748" t="str">
        <f>'Part VIII-Threshold Criteria'!P47</f>
        <v>Yes</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681</v>
      </c>
      <c r="O2099" s="748" t="s">
        <v>2923</v>
      </c>
      <c r="P2099" s="748">
        <f>'Part VIII-Threshold Criteria'!P51</f>
        <v>0</v>
      </c>
    </row>
    <row r="2101" spans="1:17">
      <c r="B2101" s="748" t="s">
        <v>3060</v>
      </c>
      <c r="C2101" s="748" t="s">
        <v>4053</v>
      </c>
      <c r="P2101" s="748" t="str">
        <f>'Part VIII-Threshold Criteria'!P53</f>
        <v>Agree</v>
      </c>
      <c r="Q2101" s="748">
        <f>'Part VIII-Threshold Criteria'!Q53</f>
        <v>0</v>
      </c>
    </row>
    <row r="2102" spans="1:17">
      <c r="B2102" s="748" t="s">
        <v>3063</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2921</v>
      </c>
    </row>
    <row r="2107" spans="1:17">
      <c r="A2107" s="748">
        <f>'Part VIII-Threshold Criteria'!A59</f>
        <v>0</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Novogradac &amp; Company, LLC</v>
      </c>
      <c r="Q2115" s="748">
        <f>'Part VIII-Threshold Criteria'!Q67</f>
        <v>0</v>
      </c>
    </row>
    <row r="2116" spans="1:17">
      <c r="B2116" s="748" t="s">
        <v>3063</v>
      </c>
      <c r="C2116" s="748" t="s">
        <v>3118</v>
      </c>
      <c r="L2116" s="748" t="s">
        <v>3063</v>
      </c>
      <c r="M2116" s="748" t="str">
        <f>'Part VIII-Threshold Criteria'!M68</f>
        <v>12 months</v>
      </c>
      <c r="Q2116" s="748">
        <f>'Part VIII-Threshold Criteria'!Q68</f>
        <v>0</v>
      </c>
    </row>
    <row r="2117" spans="1:17">
      <c r="B2117" s="748" t="s">
        <v>1238</v>
      </c>
      <c r="C2117" s="748" t="s">
        <v>3731</v>
      </c>
      <c r="L2117" s="748" t="s">
        <v>1238</v>
      </c>
      <c r="M2117" s="748" t="str">
        <f>'Part VIII-Threshold Criteria'!M69</f>
        <v>12 months</v>
      </c>
      <c r="Q2117" s="748">
        <f>'Part VIII-Threshold Criteria'!Q69</f>
        <v>0</v>
      </c>
    </row>
    <row r="2118" spans="1:17">
      <c r="B2118" s="748" t="s">
        <v>3212</v>
      </c>
      <c r="C2118" s="748" t="s">
        <v>3732</v>
      </c>
      <c r="L2118" s="748" t="s">
        <v>3212</v>
      </c>
      <c r="M2118" s="748">
        <f>'Part VIII-Threshold Criteria'!M70</f>
        <v>0.22600000000000001</v>
      </c>
      <c r="Q2118" s="748">
        <f>'Part VIII-Threshold Criteria'!Q70</f>
        <v>0</v>
      </c>
    </row>
    <row r="2119" spans="1:17">
      <c r="B2119" s="748" t="s">
        <v>2762</v>
      </c>
      <c r="C2119" s="748" t="s">
        <v>3556</v>
      </c>
      <c r="O2119" s="748" t="s">
        <v>2762</v>
      </c>
      <c r="P2119" s="748" t="str">
        <f>'Part VIII-Threshold Criteria'!P71</f>
        <v>No</v>
      </c>
      <c r="Q2119" s="748">
        <f>'Part VIII-Threshold Criteria'!Q71</f>
        <v>0</v>
      </c>
    </row>
    <row r="2120" spans="1:17">
      <c r="D2120" s="748" t="s">
        <v>3593</v>
      </c>
      <c r="E2120" s="748" t="s">
        <v>951</v>
      </c>
      <c r="H2120" s="748" t="s">
        <v>3593</v>
      </c>
      <c r="I2120" s="748" t="s">
        <v>951</v>
      </c>
      <c r="L2120" s="748" t="s">
        <v>3593</v>
      </c>
      <c r="M2120" s="748" t="s">
        <v>951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2921</v>
      </c>
    </row>
    <row r="2126" spans="1:17">
      <c r="A2126" s="748">
        <f>'Part VIII-Threshold Criteria'!A78</f>
        <v>0</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729</v>
      </c>
      <c r="O2133" s="748" t="s">
        <v>3060</v>
      </c>
      <c r="P2133" s="748" t="str">
        <f>'Part VIII-Threshold Criteria'!P85</f>
        <v>No</v>
      </c>
      <c r="Q2133" s="748">
        <f>'Part VIII-Threshold Criteria'!Q85</f>
        <v>0</v>
      </c>
    </row>
    <row r="2134" spans="1:17">
      <c r="B2134" s="748" t="s">
        <v>3063</v>
      </c>
      <c r="C2134" s="748" t="s">
        <v>2005</v>
      </c>
      <c r="O2134" s="748" t="s">
        <v>3063</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3212</v>
      </c>
      <c r="C2140" s="748" t="s">
        <v>2148</v>
      </c>
    </row>
    <row r="2141" spans="1:17">
      <c r="C2141" s="748" t="s">
        <v>2764</v>
      </c>
      <c r="D2141" s="748" t="s">
        <v>2149</v>
      </c>
      <c r="O2141" s="748" t="s">
        <v>2764</v>
      </c>
      <c r="P2141" s="748" t="str">
        <f>'Part VIII-Threshold Criteria'!P93</f>
        <v>Yes</v>
      </c>
      <c r="Q2141" s="748">
        <f>'Part VIII-Threshold Criteria'!Q93</f>
        <v>0</v>
      </c>
    </row>
    <row r="2142" spans="1:17">
      <c r="C2142" s="748" t="s">
        <v>2765</v>
      </c>
      <c r="D2142" s="748" t="s">
        <v>2150</v>
      </c>
      <c r="O2142" s="748" t="s">
        <v>2765</v>
      </c>
      <c r="P2142" s="748" t="str">
        <f>'Part VIII-Threshold Criteria'!P94</f>
        <v>Yes</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2921</v>
      </c>
    </row>
    <row r="2145" spans="1:17">
      <c r="A2145" s="748" t="str">
        <f>'Part VIII-Threshold Criteria'!A97</f>
        <v xml:space="preserve">D.1. Property was rezoning on June 14th 2011. </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GEC</v>
      </c>
      <c r="Q2153" s="748">
        <f>'Part VIII-Threshold Criteria'!Q105</f>
        <v>0</v>
      </c>
    </row>
    <row r="2154" spans="1:17">
      <c r="B2154" s="748" t="s">
        <v>3063</v>
      </c>
      <c r="C2154" s="748" t="s">
        <v>2291</v>
      </c>
      <c r="O2154" s="748" t="s">
        <v>3063</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t="str">
        <f>'Part VIII-Threshold Criteria'!P108</f>
        <v>&gt;65</v>
      </c>
      <c r="Q2156" s="748">
        <f>'Part VIII-Threshold Criteria'!Q108</f>
        <v>0</v>
      </c>
    </row>
    <row r="2157" spans="1:17">
      <c r="C2157" s="748" t="s">
        <v>2089</v>
      </c>
    </row>
    <row r="2158" spans="1:17">
      <c r="C2158" s="748">
        <f>'Part VIII-Threshold Criteria'!C110</f>
        <v>0</v>
      </c>
    </row>
    <row r="2159" spans="1:17">
      <c r="B2159" s="748" t="s">
        <v>3212</v>
      </c>
      <c r="C2159" s="748" t="s">
        <v>1944</v>
      </c>
      <c r="O2159" s="748" t="s">
        <v>3212</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2766</v>
      </c>
      <c r="D2165" s="748" t="s">
        <v>1946</v>
      </c>
      <c r="O2165" s="748" t="s">
        <v>2766</v>
      </c>
      <c r="P2165" s="748" t="str">
        <f>'Part VIII-Threshold Criteria'!P117</f>
        <v>Yes</v>
      </c>
      <c r="Q2165" s="748">
        <f>'Part VIII-Threshold Criteria'!Q117</f>
        <v>0</v>
      </c>
    </row>
    <row r="2166" spans="2:17">
      <c r="D2166" s="748" t="s">
        <v>1407</v>
      </c>
      <c r="P2166" s="748">
        <f>'Part VIII-Threshold Criteria'!P118</f>
        <v>0.04</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726</v>
      </c>
      <c r="O2169" s="748" t="s">
        <v>3571</v>
      </c>
      <c r="P2169" s="748" t="str">
        <f>'Part VIII-Threshold Criteria'!P121</f>
        <v>Yes</v>
      </c>
      <c r="Q2169" s="748">
        <f>'Part VIII-Threshold Criteria'!Q121</f>
        <v>0</v>
      </c>
    </row>
    <row r="2170" spans="2:17">
      <c r="B2170" s="748" t="s">
        <v>2762</v>
      </c>
      <c r="C2170" s="748" t="s">
        <v>3658</v>
      </c>
      <c r="O2170" s="748" t="s">
        <v>2762</v>
      </c>
      <c r="P2170" s="748" t="str">
        <f>'Part VIII-Threshold Criteria'!P122</f>
        <v>No</v>
      </c>
      <c r="Q2170" s="748">
        <f>'Part VIII-Threshold Criteria'!Q122</f>
        <v>0</v>
      </c>
    </row>
    <row r="2171" spans="2:17">
      <c r="C2171" s="748" t="s">
        <v>2764</v>
      </c>
      <c r="D2171" s="748" t="s">
        <v>3659</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3621</v>
      </c>
      <c r="N2171" s="748" t="str">
        <f>'Part VIII-Threshold Criteria'!N123</f>
        <v>No</v>
      </c>
      <c r="O2171" s="748">
        <f>'Part VIII-Threshold Criteria'!O123</f>
        <v>0</v>
      </c>
    </row>
    <row r="2172" spans="2:17">
      <c r="C2172" s="748" t="s">
        <v>2765</v>
      </c>
      <c r="D2172" s="748" t="s">
        <v>3775</v>
      </c>
      <c r="F2172" s="748" t="str">
        <f>'Part VIII-Threshold Criteria'!F124</f>
        <v>No</v>
      </c>
      <c r="G2172" s="748">
        <f>'Part VIII-Threshold Criteria'!G124</f>
        <v>0</v>
      </c>
      <c r="H2172" s="748" t="s">
        <v>3571</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N/A</v>
      </c>
      <c r="Q2174" s="748">
        <f>'Part VIII-Threshold Criteria'!Q126</f>
        <v>0</v>
      </c>
    </row>
    <row r="2175" spans="2:17">
      <c r="C2175" s="748" t="s">
        <v>2764</v>
      </c>
      <c r="D2175" s="748" t="s">
        <v>1079</v>
      </c>
      <c r="O2175" s="748" t="s">
        <v>2764</v>
      </c>
      <c r="P2175" s="748">
        <f>'Part VIII-Threshold Criteria'!P127</f>
        <v>0</v>
      </c>
      <c r="Q2175" s="748">
        <f>'Part VIII-Threshold Criteria'!Q127</f>
        <v>0</v>
      </c>
    </row>
    <row r="2176" spans="2:17">
      <c r="C2176" s="748" t="s">
        <v>2765</v>
      </c>
      <c r="D2176" s="748" t="s">
        <v>725</v>
      </c>
      <c r="O2176" s="748" t="s">
        <v>2765</v>
      </c>
      <c r="P2176" s="748">
        <f>'Part VIII-Threshold Criteria'!P128</f>
        <v>0</v>
      </c>
      <c r="Q2176" s="748">
        <f>'Part VIII-Threshold Criteria'!Q128</f>
        <v>0</v>
      </c>
    </row>
    <row r="2177" spans="1:17">
      <c r="C2177" s="748" t="s">
        <v>2766</v>
      </c>
      <c r="D2177" s="748" t="s">
        <v>1031</v>
      </c>
      <c r="O2177" s="748" t="s">
        <v>2766</v>
      </c>
      <c r="P2177" s="748">
        <f>'Part VIII-Threshold Criteria'!P129</f>
        <v>0</v>
      </c>
      <c r="Q2177" s="748">
        <f>'Part VIII-Threshold Criteria'!Q129</f>
        <v>0</v>
      </c>
    </row>
    <row r="2178" spans="1:17">
      <c r="B2178" s="748" t="s">
        <v>3020</v>
      </c>
      <c r="C2178" s="748" t="s">
        <v>2781</v>
      </c>
      <c r="O2178" s="748" t="s">
        <v>3020</v>
      </c>
      <c r="P2178" s="748">
        <f>'Part VIII-Threshold Criteria'!P130</f>
        <v>0</v>
      </c>
      <c r="Q2178" s="748">
        <f>'Part VIII-Threshold Criteria'!Q130</f>
        <v>0</v>
      </c>
    </row>
    <row r="2180" spans="1:17">
      <c r="B2180" s="748" t="s">
        <v>2921</v>
      </c>
    </row>
    <row r="2181" spans="1:17">
      <c r="A2181" s="748" t="str">
        <f>'Part VIII-Threshold Criteria'!A133</f>
        <v xml:space="preserve">Per the Environmental Study, GEC found that approximately 575 Linear feet of an intermittent stream were delinated on the property. A 100' foot buffer was drawn on the preliminary site plan </v>
      </c>
    </row>
    <row r="2182" spans="1:17">
      <c r="A2182" s="748" t="str">
        <f>'Part VIII-Threshold Criteria'!A134</f>
        <v xml:space="preserve">and futhermore, GEC stated that the project would not adversely impact the stream on the property. </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Potemkin-Magita Holdings, LLC</v>
      </c>
      <c r="P2192" s="748" t="str">
        <f>'Part VIII-Threshold Criteria'!P144</f>
        <v>Yes</v>
      </c>
      <c r="Q2192" s="748">
        <f>'Part VIII-Threshold Criteria'!Q144</f>
        <v>0</v>
      </c>
    </row>
    <row r="2193" spans="1:17">
      <c r="B2193" s="748" t="s">
        <v>2921</v>
      </c>
    </row>
    <row r="2194" spans="1:17">
      <c r="A2194" s="748">
        <f>'Part VIII-Threshold Criteria'!A146</f>
        <v>0</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682</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f>'Part VIII-Threshold Criteria'!A156</f>
        <v>0</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696</v>
      </c>
      <c r="O2211" s="748" t="s">
        <v>3060</v>
      </c>
      <c r="P2211" s="748" t="str">
        <f>'Part VIII-Threshold Criteria'!P163</f>
        <v>Yes</v>
      </c>
      <c r="Q2211" s="748">
        <f>'Part VIII-Threshold Criteria'!Q163</f>
        <v>0</v>
      </c>
    </row>
    <row r="2212" spans="1:17">
      <c r="B2212" s="748" t="s">
        <v>3063</v>
      </c>
      <c r="C2212" s="748" t="s">
        <v>721</v>
      </c>
      <c r="O2212" s="748" t="s">
        <v>3063</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3212</v>
      </c>
      <c r="C2214" s="748" t="s">
        <v>929</v>
      </c>
      <c r="O2214" s="748" t="s">
        <v>3212</v>
      </c>
      <c r="P2214" s="748" t="str">
        <f>'Part VIII-Threshold Criteria'!P166</f>
        <v>Yes</v>
      </c>
      <c r="Q2214" s="748">
        <f>'Part VIII-Threshold Criteria'!Q166</f>
        <v>0</v>
      </c>
    </row>
    <row r="2215" spans="1:17">
      <c r="B2215" s="748" t="s">
        <v>2762</v>
      </c>
      <c r="C2215" s="748" t="s">
        <v>3594</v>
      </c>
      <c r="O2215" s="748" t="s">
        <v>2762</v>
      </c>
      <c r="P2215" s="748" t="str">
        <f>'Part VIII-Threshold Criteria'!P167</f>
        <v>Yes</v>
      </c>
      <c r="Q2215" s="748">
        <f>'Part VIII-Threshold Criteria'!Q167</f>
        <v>0</v>
      </c>
    </row>
    <row r="2216" spans="1:17">
      <c r="B2216" s="748" t="s">
        <v>2921</v>
      </c>
    </row>
    <row r="2217" spans="1:17">
      <c r="A2217" s="748">
        <f>'Part VIII-Threshold Criteria'!A169</f>
        <v>0</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2764</v>
      </c>
      <c r="I2224" s="748" t="s">
        <v>206</v>
      </c>
      <c r="J2224" s="748" t="str">
        <f>'Part VIII-Threshold Criteria'!J176</f>
        <v>&lt;&lt;Enter Provider Name Here&gt;&gt;</v>
      </c>
      <c r="O2224" s="748" t="s">
        <v>2764</v>
      </c>
      <c r="P2224" s="748" t="str">
        <f>'Part VIII-Threshold Criteria'!P176</f>
        <v>No</v>
      </c>
      <c r="Q2224" s="748">
        <f>'Part VIII-Threshold Criteria'!Q176</f>
        <v>0</v>
      </c>
    </row>
    <row r="2225" spans="1:17">
      <c r="H2225" s="748" t="s">
        <v>2765</v>
      </c>
      <c r="I2225" s="748" t="s">
        <v>2357</v>
      </c>
      <c r="J2225" s="748" t="str">
        <f>'Part VIII-Threshold Criteria'!J177</f>
        <v>City of Hampton</v>
      </c>
      <c r="O2225" s="748" t="s">
        <v>2765</v>
      </c>
      <c r="P2225" s="748" t="str">
        <f>'Part VIII-Threshold Criteria'!P177</f>
        <v>Yes</v>
      </c>
      <c r="Q2225" s="748">
        <f>'Part VIII-Threshold Criteria'!Q177</f>
        <v>0</v>
      </c>
    </row>
    <row r="2226" spans="1:17">
      <c r="B2226" s="748" t="s">
        <v>2921</v>
      </c>
    </row>
    <row r="2227" spans="1:17">
      <c r="A2227" s="748">
        <f>'Part VIII-Threshold Criteria'!A179</f>
        <v>0</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3063</v>
      </c>
      <c r="C2235" s="748" t="s">
        <v>2903</v>
      </c>
      <c r="H2235" s="748" t="s">
        <v>2764</v>
      </c>
      <c r="I2235" s="748" t="s">
        <v>971</v>
      </c>
      <c r="J2235" s="748" t="str">
        <f>'Part VIII-Threshold Criteria'!J187</f>
        <v>City of Hampton</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Hampton</v>
      </c>
      <c r="O2236" s="748" t="s">
        <v>2765</v>
      </c>
      <c r="P2236" s="748" t="str">
        <f>'Part VIII-Threshold Criteria'!P188</f>
        <v>Yes</v>
      </c>
      <c r="Q2236" s="748">
        <f>'Part VIII-Threshold Criteria'!Q188</f>
        <v>0</v>
      </c>
    </row>
    <row r="2237" spans="1:17">
      <c r="B2237" s="748" t="s">
        <v>2921</v>
      </c>
    </row>
    <row r="2238" spans="1:17">
      <c r="A2238" s="748">
        <f>'Part VIII-Threshold Criteria'!A190</f>
        <v>0</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1238</v>
      </c>
      <c r="C2246" s="748" t="s">
        <v>195</v>
      </c>
      <c r="O2246" s="748" t="s">
        <v>1238</v>
      </c>
      <c r="P2246" s="748" t="str">
        <f>'Part VIII-Threshold Criteria'!P198</f>
        <v>No</v>
      </c>
      <c r="Q2246" s="748">
        <f>'Part VIII-Threshold Criteria'!Q198</f>
        <v>0</v>
      </c>
    </row>
    <row r="2247" spans="1:17">
      <c r="B2247" s="748" t="s">
        <v>3212</v>
      </c>
      <c r="C2247" s="748" t="s">
        <v>196</v>
      </c>
      <c r="O2247" s="748" t="s">
        <v>3212</v>
      </c>
      <c r="P2247" s="748" t="str">
        <f>'Part VIII-Threshold Criteria'!P199</f>
        <v>No</v>
      </c>
      <c r="Q2247" s="748">
        <f>'Part VIII-Threshold Criteria'!Q199</f>
        <v>0</v>
      </c>
    </row>
    <row r="2248" spans="1:17">
      <c r="B2248" s="748" t="s">
        <v>2921</v>
      </c>
    </row>
    <row r="2249" spans="1:17">
      <c r="A2249" s="748" t="str">
        <f>'Part VIII-Threshold Criteria'!A201</f>
        <v xml:space="preserve">We had two public meeting held as a part of our rezoning process. The public were invited to attend and ask questions, and all their comments towards our proposed project were positive. </v>
      </c>
    </row>
    <row r="2250" spans="1:17">
      <c r="A2250" s="748" t="str">
        <f>'Part VIII-Threshold Criteria'!A202</f>
        <v>Please see minutes under Tab 16.</v>
      </c>
    </row>
    <row r="2252" spans="1:17">
      <c r="B2252" s="748" t="s">
        <v>2922</v>
      </c>
    </row>
    <row r="2253" spans="1:17">
      <c r="A2253" s="748">
        <f>'Part VIII-Threshold Criteria'!A205</f>
        <v>0</v>
      </c>
    </row>
    <row r="2254" spans="1:17">
      <c r="A2254" s="748">
        <f>'Part VIII-Threshold Criteria'!A206</f>
        <v>0</v>
      </c>
    </row>
    <row r="2256" spans="1:17">
      <c r="A2256" s="748">
        <v>13</v>
      </c>
      <c r="B2256" s="748" t="s">
        <v>680</v>
      </c>
      <c r="O2256" s="748" t="s">
        <v>2923</v>
      </c>
      <c r="P2256" s="748">
        <f>'Part VIII-Threshold Criteria'!P208</f>
        <v>0</v>
      </c>
    </row>
    <row r="2257" spans="2:17">
      <c r="B2257" s="748" t="s">
        <v>1838</v>
      </c>
      <c r="P2257" s="748" t="str">
        <f>'Part VIII-Threshold Criteria'!P209</f>
        <v>No</v>
      </c>
      <c r="Q2257" s="748">
        <f>'Part VIII-Threshold Criteria'!Q209</f>
        <v>0</v>
      </c>
    </row>
    <row r="2258" spans="2:17">
      <c r="B2258" s="748" t="s">
        <v>3060</v>
      </c>
      <c r="C2258" s="748" t="s">
        <v>2086</v>
      </c>
    </row>
    <row r="2259" spans="2:17">
      <c r="C2259" s="748" t="s">
        <v>2764</v>
      </c>
      <c r="D2259" s="748" t="s">
        <v>3003</v>
      </c>
      <c r="L2259" s="748" t="s">
        <v>2230</v>
      </c>
      <c r="M2259" s="748" t="str">
        <f>'Part VIII-Threshold Criteria'!M211</f>
        <v>Building</v>
      </c>
      <c r="P2259" s="748" t="str">
        <f>'Part VIII-Threshold Criteria'!P211</f>
        <v>Agree</v>
      </c>
      <c r="Q2259" s="748">
        <f>'Part VIII-Threshold Criteria'!Q211</f>
        <v>0</v>
      </c>
    </row>
    <row r="2260" spans="2:17">
      <c r="C2260" s="748" t="s">
        <v>2765</v>
      </c>
      <c r="D2260" s="748" t="s">
        <v>198</v>
      </c>
      <c r="L2260" s="748" t="s">
        <v>2231</v>
      </c>
      <c r="M2260" s="748" t="str">
        <f>'Part VIII-Threshold Criteria'!M212</f>
        <v>Covered Porch</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4054</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Equipped fitness center</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Equipped computer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f>'Part VIII-Threshold Criteria'!P227</f>
        <v>0</v>
      </c>
      <c r="Q2275" s="748">
        <f>'Part VIII-Threshold Criteria'!Q227</f>
        <v>0</v>
      </c>
    </row>
    <row r="2277" spans="1:17">
      <c r="B2277" s="748" t="s">
        <v>3212</v>
      </c>
      <c r="C2277" s="748" t="s">
        <v>2344</v>
      </c>
      <c r="O2277" s="748" t="s">
        <v>3212</v>
      </c>
      <c r="P2277" s="748" t="str">
        <f>'Part VIII-Threshold Criteria'!P229</f>
        <v>Agree</v>
      </c>
      <c r="Q2277" s="748">
        <f>'Part VIII-Threshold Criteria'!Q229</f>
        <v>0</v>
      </c>
    </row>
    <row r="2278" spans="1:17">
      <c r="C2278" s="748" t="s">
        <v>2764</v>
      </c>
      <c r="D2278" s="748" t="s">
        <v>1933</v>
      </c>
      <c r="O2278" s="748" t="s">
        <v>2764</v>
      </c>
      <c r="P2278" s="748" t="str">
        <f>'Part VIII-Threshold Criteria'!P230</f>
        <v>No</v>
      </c>
      <c r="Q2278" s="748">
        <f>'Part VIII-Threshold Criteria'!Q230</f>
        <v>0</v>
      </c>
    </row>
    <row r="2279" spans="1:17">
      <c r="C2279" s="748" t="s">
        <v>2765</v>
      </c>
      <c r="D2279" s="748" t="s">
        <v>199</v>
      </c>
      <c r="O2279" s="748" t="s">
        <v>2765</v>
      </c>
      <c r="P2279" s="748" t="str">
        <f>'Part VIII-Threshold Criteria'!P231</f>
        <v>No</v>
      </c>
      <c r="Q2279" s="748">
        <f>'Part VIII-Threshold Criteria'!Q231</f>
        <v>0</v>
      </c>
    </row>
    <row r="2280" spans="1:17">
      <c r="C2280" s="748" t="s">
        <v>2766</v>
      </c>
      <c r="D2280" s="748" t="s">
        <v>2625</v>
      </c>
      <c r="O2280" s="748" t="s">
        <v>3581</v>
      </c>
      <c r="P2280" s="748" t="str">
        <f>'Part VIII-Threshold Criteria'!P232</f>
        <v>Yes</v>
      </c>
      <c r="Q2280" s="748">
        <f>'Part VIII-Threshold Criteria'!Q232</f>
        <v>0</v>
      </c>
    </row>
    <row r="2281" spans="1:17">
      <c r="D2281" s="748" t="s">
        <v>1984</v>
      </c>
      <c r="O2281" s="748" t="s">
        <v>3582</v>
      </c>
      <c r="P2281" s="748">
        <f>'Part VIII-Threshold Criteria'!P233</f>
        <v>0</v>
      </c>
      <c r="Q2281" s="748">
        <f>'Part VIII-Threshold Criteria'!Q233</f>
        <v>0</v>
      </c>
    </row>
    <row r="2282" spans="1:17">
      <c r="B2282" s="748" t="s">
        <v>2921</v>
      </c>
    </row>
    <row r="2283" spans="1:17">
      <c r="A2283" s="748" t="str">
        <f>'Part VIII-Threshold Criteria'!A235</f>
        <v>D.1 All units will be accessible from ground level therefore no elevators are necessary.</v>
      </c>
    </row>
    <row r="2284" spans="1:17">
      <c r="A2284" s="748" t="str">
        <f>'Part VIII-Threshold Criteria'!A236</f>
        <v>D.2. N/A There will be no two-story buildings.</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1952</v>
      </c>
      <c r="L2291" s="748" t="s">
        <v>3060</v>
      </c>
      <c r="M2291" s="748" t="str">
        <f>'Part VIII-Threshold Criteria'!M243</f>
        <v>&lt;&lt;Select&gt;&gt;</v>
      </c>
      <c r="P2291" s="748" t="str">
        <f>'Part VIII-Threshold Criteria'!P243</f>
        <v>&lt;&lt;Select&gt;&gt;</v>
      </c>
    </row>
    <row r="2292" spans="1:17">
      <c r="B2292" s="748" t="s">
        <v>3063</v>
      </c>
      <c r="C2292" s="748" t="s">
        <v>1921</v>
      </c>
      <c r="L2292" s="748" t="s">
        <v>3063</v>
      </c>
      <c r="M2292" s="748">
        <f>'Part VIII-Threshold Criteria'!M244</f>
        <v>0</v>
      </c>
      <c r="P2292" s="748">
        <f>'Part VIII-Threshold Criteria'!P244</f>
        <v>0</v>
      </c>
    </row>
    <row r="2293" spans="1:17">
      <c r="B2293" s="748" t="s">
        <v>1238</v>
      </c>
      <c r="C2293" s="748" t="s">
        <v>3017</v>
      </c>
      <c r="L2293" s="748" t="s">
        <v>1238</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2762</v>
      </c>
      <c r="C2295" s="748" t="s">
        <v>4055</v>
      </c>
      <c r="O2295" s="748" t="s">
        <v>2762</v>
      </c>
      <c r="P2295" s="748">
        <f>'Part VIII-Threshold Criteria'!P247</f>
        <v>0</v>
      </c>
      <c r="Q2295" s="748">
        <f>'Part VIII-Threshold Criteria'!Q247</f>
        <v>0</v>
      </c>
    </row>
    <row r="2296" spans="1:17">
      <c r="B2296" s="748" t="s">
        <v>2921</v>
      </c>
    </row>
    <row r="2297" spans="1:17">
      <c r="A2297" s="748">
        <f>'Part VIII-Threshold Criteria'!A249</f>
        <v>0</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2113</v>
      </c>
      <c r="O2306" s="748" t="s">
        <v>3063</v>
      </c>
      <c r="P2306" s="748" t="str">
        <f>'Part VIII-Threshold Criteria'!P258</f>
        <v>Yes</v>
      </c>
      <c r="Q2306" s="748">
        <f>'Part VIII-Threshold Criteria'!Q258</f>
        <v>0</v>
      </c>
    </row>
    <row r="2307" spans="1:17">
      <c r="B2307" s="748" t="s">
        <v>2921</v>
      </c>
    </row>
    <row r="2308" spans="1:17">
      <c r="A2308" s="748">
        <f>'Part VIII-Threshold Criteria'!A260</f>
        <v>0</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1089</v>
      </c>
      <c r="O2314" s="748" t="s">
        <v>2923</v>
      </c>
      <c r="P2314" s="748">
        <f>'Part VIII-Threshold Criteria'!P266</f>
        <v>0</v>
      </c>
    </row>
    <row r="2316" spans="1:17" ht="24" customHeight="1">
      <c r="B2316" s="748" t="s">
        <v>3060</v>
      </c>
      <c r="C2316" s="748" t="s">
        <v>1207</v>
      </c>
      <c r="O2316" s="748" t="s">
        <v>3060</v>
      </c>
      <c r="P2316" s="748" t="str">
        <f>'Part VIII-Threshold Criteria'!P268</f>
        <v>Agree</v>
      </c>
      <c r="Q2316" s="748">
        <f>'Part VIII-Threshold Criteria'!Q268</f>
        <v>0</v>
      </c>
    </row>
    <row r="2317" spans="1:17" ht="24" customHeight="1">
      <c r="B2317" s="748" t="s">
        <v>3063</v>
      </c>
      <c r="C2317" s="748" t="s">
        <v>1208</v>
      </c>
      <c r="O2317" s="748" t="s">
        <v>3063</v>
      </c>
      <c r="P2317" s="748" t="str">
        <f>'Part VIII-Threshold Criteria'!P269</f>
        <v>Agree</v>
      </c>
      <c r="Q2317" s="748">
        <f>'Part VIII-Threshold Criteria'!Q269</f>
        <v>0</v>
      </c>
    </row>
    <row r="2318" spans="1:17" ht="33" customHeight="1">
      <c r="B2318" s="748" t="s">
        <v>1238</v>
      </c>
      <c r="C2318" s="748" t="s">
        <v>1209</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877</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1081</v>
      </c>
      <c r="O2342" s="748" t="s">
        <v>3060</v>
      </c>
      <c r="P2342" s="748">
        <f>'Part VIII-Threshold Criteria'!P294</f>
        <v>0</v>
      </c>
      <c r="Q2342" s="748">
        <f>'Part VIII-Threshold Criteria'!Q294</f>
        <v>0</v>
      </c>
    </row>
    <row r="2344" spans="1:17">
      <c r="B2344" s="748" t="s">
        <v>3063</v>
      </c>
      <c r="C2344" s="748" t="s">
        <v>674</v>
      </c>
      <c r="O2344" s="748" t="s">
        <v>3063</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2" customHeight="1">
      <c r="C2346" s="748" t="s">
        <v>2765</v>
      </c>
      <c r="D2346" s="748" t="s">
        <v>4056</v>
      </c>
      <c r="G2346" s="748" t="str">
        <f>'Part VIII-Threshold Criteria'!G298</f>
        <v>Addition of decorative elements</v>
      </c>
      <c r="O2346" s="748" t="s">
        <v>2765</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2" customHeight="1">
      <c r="C2349" s="748" t="s">
        <v>3571</v>
      </c>
      <c r="D2349" s="748" t="s">
        <v>4057</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2"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f>'Part VIII-Threshold Criteria'!A319</f>
        <v>0</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2923</v>
      </c>
      <c r="P2375" s="748">
        <f>'Part VIII-Threshold Criteria'!P327</f>
        <v>0</v>
      </c>
    </row>
    <row r="2377" spans="1:17">
      <c r="B2377" s="748" t="s">
        <v>3060</v>
      </c>
      <c r="C2377" s="748" t="s">
        <v>2543</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3212</v>
      </c>
      <c r="C2380" s="748" t="s">
        <v>1058</v>
      </c>
      <c r="O2380" s="748" t="s">
        <v>3212</v>
      </c>
      <c r="P2380" s="748" t="str">
        <f>'Part VIII-Threshold Criteria'!P332</f>
        <v>No</v>
      </c>
      <c r="Q2380" s="748">
        <f>'Part VIII-Threshold Criteria'!Q332</f>
        <v>0</v>
      </c>
    </row>
    <row r="2381" spans="1:17">
      <c r="B2381" s="748" t="s">
        <v>2921</v>
      </c>
    </row>
    <row r="2382" spans="1:17">
      <c r="A2382" s="748" t="str">
        <f>'Part VIII-Threshold Criteria'!A334</f>
        <v xml:space="preserve">Multistate release form is N.A for the developer and general partner. Management company has submitted all release forms to the various states. Uniform release forms will be provided upon </v>
      </c>
    </row>
    <row r="2383" spans="1:17">
      <c r="A2383" s="748" t="str">
        <f>'Part VIII-Threshold Criteria'!A335</f>
        <v xml:space="preserve">request. </v>
      </c>
    </row>
    <row r="2385" spans="1:17">
      <c r="B2385" s="748" t="s">
        <v>2922</v>
      </c>
    </row>
    <row r="2386" spans="1:17">
      <c r="A2386" s="748">
        <f>'Part VIII-Threshold Criteria'!A338</f>
        <v>0</v>
      </c>
    </row>
    <row r="2387" spans="1:17">
      <c r="A2387" s="748">
        <f>'Part VIII-Threshold Criteria'!A339</f>
        <v>0</v>
      </c>
    </row>
    <row r="2389" spans="1:17">
      <c r="A2389" s="748">
        <v>21</v>
      </c>
      <c r="B2389" s="748" t="s">
        <v>1553</v>
      </c>
      <c r="O2389" s="748" t="s">
        <v>2923</v>
      </c>
      <c r="P2389" s="748">
        <f>'Part VIII-Threshold Criteria'!P341</f>
        <v>0</v>
      </c>
    </row>
    <row r="2390" spans="1:17">
      <c r="B2390" s="748" t="s">
        <v>3060</v>
      </c>
      <c r="C2390" s="748" t="s">
        <v>2083</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2921</v>
      </c>
    </row>
    <row r="2397" spans="1:17">
      <c r="A2397" s="748">
        <f>'Part VIII-Threshold Criteria'!A349</f>
        <v>0</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1657</v>
      </c>
      <c r="J2402" s="748" t="s">
        <v>3060</v>
      </c>
      <c r="K2402" s="748">
        <f>'Part VIII-Threshold Criteria'!K354</f>
        <v>0</v>
      </c>
      <c r="P2402" s="748">
        <f>'Part VIII-Threshold Criteria'!P354</f>
        <v>0</v>
      </c>
      <c r="Q2402" s="748">
        <f>'Part VIII-Threshold Criteria'!Q354</f>
        <v>0</v>
      </c>
    </row>
    <row r="2403" spans="1:17">
      <c r="B2403" s="748" t="s">
        <v>3063</v>
      </c>
      <c r="C2403" s="748" t="s">
        <v>2767</v>
      </c>
      <c r="O2403" s="748" t="s">
        <v>3063</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3020</v>
      </c>
      <c r="C2408" s="748" t="s">
        <v>851</v>
      </c>
      <c r="O2408" s="748" t="s">
        <v>3020</v>
      </c>
      <c r="P2408" s="748">
        <f>'Part VIII-Threshold Criteria'!P360</f>
        <v>0</v>
      </c>
      <c r="Q2408" s="748">
        <f>'Part VIII-Threshold Criteria'!Q360</f>
        <v>0</v>
      </c>
    </row>
    <row r="2409" spans="1:17">
      <c r="B2409" s="748" t="s">
        <v>2921</v>
      </c>
    </row>
    <row r="2410" spans="1:17">
      <c r="A2410" s="748">
        <f>'Part VIII-Threshold Criteria'!A362</f>
        <v>0</v>
      </c>
    </row>
    <row r="2411" spans="1:17">
      <c r="B2411" s="748" t="s">
        <v>2922</v>
      </c>
    </row>
    <row r="2412" spans="1:17">
      <c r="A2412" s="748">
        <f>'Part VIII-Threshold Criteria'!A364</f>
        <v>0</v>
      </c>
    </row>
    <row r="2414" spans="1:17">
      <c r="A2414" s="748">
        <v>23</v>
      </c>
      <c r="B2414" s="748" t="s">
        <v>1082</v>
      </c>
      <c r="O2414" s="748" t="s">
        <v>2923</v>
      </c>
      <c r="P2414" s="748">
        <f>'Part VIII-Threshold Criteria'!P366</f>
        <v>0</v>
      </c>
    </row>
    <row r="2415" spans="1:17">
      <c r="B2415" s="748" t="s">
        <v>3060</v>
      </c>
      <c r="C2415" s="748" t="s">
        <v>4058</v>
      </c>
      <c r="M2415" s="748" t="s">
        <v>3060</v>
      </c>
      <c r="N2415" s="748">
        <f>'Part VIII-Threshold Criteria'!N367</f>
        <v>0</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1238</v>
      </c>
      <c r="C2417" s="748" t="s">
        <v>2125</v>
      </c>
      <c r="O2417" s="748" t="s">
        <v>1238</v>
      </c>
      <c r="P2417" s="748">
        <f>'Part VIII-Threshold Criteria'!P369</f>
        <v>0</v>
      </c>
      <c r="Q2417" s="748">
        <f>'Part VIII-Threshold Criteria'!Q369</f>
        <v>0</v>
      </c>
    </row>
    <row r="2418" spans="1:17">
      <c r="B2418" s="748" t="s">
        <v>2921</v>
      </c>
    </row>
    <row r="2419" spans="1:17">
      <c r="A2419" s="748" t="str">
        <f>'Part VIII-Threshold Criteria'!A371</f>
        <v xml:space="preserve">There is no HOME/HUD financing so this is N/A. </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2529</v>
      </c>
      <c r="F2426" s="748" t="s">
        <v>1057</v>
      </c>
      <c r="O2426" s="748" t="s">
        <v>2923</v>
      </c>
      <c r="P2426" s="748">
        <f>'Part VIII-Threshold Criteria'!P378</f>
        <v>0</v>
      </c>
    </row>
    <row r="2427" spans="1:17">
      <c r="B2427" s="748" t="s">
        <v>3060</v>
      </c>
      <c r="C2427" s="748" t="s">
        <v>2126</v>
      </c>
      <c r="O2427" s="748" t="s">
        <v>3060</v>
      </c>
      <c r="P2427" s="748">
        <f>'Part VIII-Threshold Criteria'!P379</f>
        <v>0</v>
      </c>
      <c r="Q2427" s="748">
        <f>'Part VIII-Threshold Criteria'!Q379</f>
        <v>0</v>
      </c>
    </row>
    <row r="2428" spans="1:17">
      <c r="B2428" s="748" t="s">
        <v>3063</v>
      </c>
      <c r="C2428" s="748" t="s">
        <v>1241</v>
      </c>
      <c r="O2428" s="748" t="s">
        <v>3063</v>
      </c>
      <c r="P2428" s="748">
        <f>'Part VIII-Threshold Criteria'!P380</f>
        <v>0</v>
      </c>
      <c r="Q2428" s="748">
        <f>'Part VIII-Threshold Criteria'!Q380</f>
        <v>0</v>
      </c>
    </row>
    <row r="2429" spans="1:17">
      <c r="B2429" s="748" t="s">
        <v>1238</v>
      </c>
      <c r="C2429" s="748" t="s">
        <v>1242</v>
      </c>
      <c r="O2429" s="748" t="s">
        <v>1238</v>
      </c>
      <c r="P2429" s="748">
        <f>'Part VIII-Threshold Criteria'!P381</f>
        <v>0</v>
      </c>
      <c r="Q2429" s="748">
        <f>'Part VIII-Threshold Criteria'!Q381</f>
        <v>0</v>
      </c>
    </row>
    <row r="2430" spans="1:17">
      <c r="B2430" s="748" t="s">
        <v>3212</v>
      </c>
      <c r="C2430" s="748" t="s">
        <v>877</v>
      </c>
      <c r="O2430" s="748" t="s">
        <v>3212</v>
      </c>
      <c r="P2430" s="748">
        <f>'Part VIII-Threshold Criteria'!P382</f>
        <v>0</v>
      </c>
      <c r="Q2430" s="748">
        <f>'Part VIII-Threshold Criteria'!Q382</f>
        <v>0</v>
      </c>
    </row>
    <row r="2431" spans="1:17">
      <c r="B2431" s="748" t="s">
        <v>2762</v>
      </c>
      <c r="C2431" s="748" t="s">
        <v>3175</v>
      </c>
      <c r="G2431" s="748" t="s">
        <v>2762</v>
      </c>
      <c r="H2431" s="748">
        <f>'Part VIII-Threshold Criteria'!H383</f>
        <v>0</v>
      </c>
      <c r="P2431" s="748">
        <f>'Part VIII-Threshold Criteria'!P383</f>
        <v>0</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4059</v>
      </c>
      <c r="O2438" s="748" t="s">
        <v>3060</v>
      </c>
      <c r="P2438" s="748" t="str">
        <f>'Part VIII-Threshold Criteria'!P390</f>
        <v>Agree</v>
      </c>
      <c r="Q2438" s="748">
        <f>'Part VIII-Threshold Criteria'!Q390</f>
        <v>0</v>
      </c>
    </row>
    <row r="2439" spans="1:17">
      <c r="B2439" s="748" t="s">
        <v>3063</v>
      </c>
      <c r="C2439" s="748" t="s">
        <v>852</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2004</v>
      </c>
      <c r="O2443" s="748" t="s">
        <v>2923</v>
      </c>
      <c r="P2443" s="748">
        <f>'Part VIII-Threshold Criteria'!P395</f>
        <v>0</v>
      </c>
    </row>
    <row r="2444" spans="1:17">
      <c r="B2444" s="748" t="s">
        <v>3060</v>
      </c>
      <c r="C2444" s="748" t="s">
        <v>1243</v>
      </c>
      <c r="O2444" s="748" t="s">
        <v>3060</v>
      </c>
      <c r="P2444" s="748">
        <f>'Part VIII-Threshold Criteria'!P396</f>
        <v>0</v>
      </c>
      <c r="Q2444" s="748">
        <f>'Part VIII-Threshold Criteria'!Q396</f>
        <v>0</v>
      </c>
    </row>
    <row r="2445" spans="1:17">
      <c r="B2445" s="748" t="s">
        <v>3063</v>
      </c>
      <c r="C2445" s="748" t="s">
        <v>3314</v>
      </c>
      <c r="O2445" s="748" t="s">
        <v>2170</v>
      </c>
      <c r="P2445" s="748">
        <f>'Part VIII-Threshold Criteria'!P397</f>
        <v>0</v>
      </c>
      <c r="Q2445" s="748">
        <f>'Part VIII-Threshold Criteria'!Q397</f>
        <v>0</v>
      </c>
    </row>
    <row r="2446" spans="1:17">
      <c r="C2446" s="748" t="s">
        <v>2226</v>
      </c>
    </row>
    <row r="2447" spans="1:17">
      <c r="C2447" s="748" t="s">
        <v>3315</v>
      </c>
      <c r="O2447" s="748" t="s">
        <v>2765</v>
      </c>
      <c r="P2447" s="748">
        <f>'Part VIII-Threshold Criteria'!P399</f>
        <v>0</v>
      </c>
      <c r="Q2447" s="748">
        <f>'Part VIII-Threshold Criteria'!Q399</f>
        <v>0</v>
      </c>
    </row>
    <row r="2448" spans="1:17">
      <c r="B2448" s="748" t="s">
        <v>1238</v>
      </c>
      <c r="C2448" s="748" t="s">
        <v>3313</v>
      </c>
      <c r="O2448" s="748" t="s">
        <v>1238</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2764</v>
      </c>
      <c r="P2450" s="748">
        <f>'Part VIII-Threshold Criteria'!P402</f>
        <v>0</v>
      </c>
      <c r="Q2450" s="748" t="str">
        <f>'Part VIII-Threshold Criteria'!Q402</f>
        <v xml:space="preserve"> </v>
      </c>
    </row>
    <row r="2451" spans="1:17">
      <c r="C2451" s="748" t="s">
        <v>3317</v>
      </c>
      <c r="O2451" s="748" t="s">
        <v>2765</v>
      </c>
      <c r="P2451" s="748">
        <f>'Part VIII-Threshold Criteria'!P403</f>
        <v>0</v>
      </c>
      <c r="Q2451" s="748">
        <f>'Part VIII-Threshold Criteria'!Q403</f>
        <v>0</v>
      </c>
    </row>
    <row r="2452" spans="1:17">
      <c r="C2452" s="748" t="s">
        <v>3318</v>
      </c>
      <c r="O2452" s="748" t="s">
        <v>2766</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2303</v>
      </c>
      <c r="P2454" s="748">
        <f>'Part VIII-Threshold Criteria'!P406</f>
        <v>0</v>
      </c>
      <c r="Q2454" s="748" t="str">
        <f>'Part VIII-Threshold Criteria'!Q406</f>
        <v xml:space="preserve"> </v>
      </c>
    </row>
    <row r="2455" spans="1:17">
      <c r="B2455" s="748" t="s">
        <v>2762</v>
      </c>
      <c r="C2455" s="748" t="s">
        <v>3614</v>
      </c>
      <c r="O2455" s="748" t="s">
        <v>2762</v>
      </c>
    </row>
    <row r="2456" spans="1:17">
      <c r="C2456" s="748" t="s">
        <v>3321</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f>'Part VIII-Threshold Criteria'!A413</f>
        <v>0</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887</v>
      </c>
      <c r="O2469" s="748" t="s">
        <v>3060</v>
      </c>
      <c r="P2469" s="748">
        <f>'Part VIII-Threshold Criteria'!P421</f>
        <v>0</v>
      </c>
      <c r="Q2469" s="748">
        <f>'Part VIII-Threshold Criteria'!Q421</f>
        <v>0</v>
      </c>
    </row>
    <row r="2470" spans="1:17">
      <c r="B2470" s="748" t="s">
        <v>3063</v>
      </c>
      <c r="C2470" s="748" t="s">
        <v>888</v>
      </c>
      <c r="O2470" s="748" t="s">
        <v>3063</v>
      </c>
      <c r="P2470" s="748">
        <f>'Part VIII-Threshold Criteria'!P422</f>
        <v>0</v>
      </c>
      <c r="Q2470" s="748">
        <f>'Part VIII-Threshold Criteria'!Q422</f>
        <v>0</v>
      </c>
    </row>
    <row r="2471" spans="1:17">
      <c r="B2471" s="748" t="s">
        <v>1238</v>
      </c>
      <c r="C2471" s="748" t="s">
        <v>889</v>
      </c>
      <c r="O2471" s="748" t="s">
        <v>1238</v>
      </c>
      <c r="P2471" s="748">
        <f>'Part VIII-Threshold Criteria'!P423</f>
        <v>0</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2011-053 Hampton Court , ,  County</v>
      </c>
    </row>
    <row r="2495" spans="1:16">
      <c r="M2495" s="748" t="s">
        <v>3337</v>
      </c>
      <c r="O2495" s="748" t="s">
        <v>3336</v>
      </c>
      <c r="P2495" s="748" t="s">
        <v>334</v>
      </c>
    </row>
    <row r="2496" spans="1:16">
      <c r="M2496" s="748" t="s">
        <v>104</v>
      </c>
      <c r="O2496" s="748" t="s">
        <v>3337</v>
      </c>
      <c r="P2496" s="748" t="s">
        <v>3337</v>
      </c>
    </row>
    <row r="2498" spans="1:17">
      <c r="L2498" s="748" t="s">
        <v>1887</v>
      </c>
      <c r="M2498" s="748">
        <v>108</v>
      </c>
      <c r="O2498" s="748">
        <f>O2786</f>
        <v>60</v>
      </c>
      <c r="P2498" s="748">
        <f>P2786</f>
        <v>13</v>
      </c>
    </row>
    <row r="2500" spans="1:17">
      <c r="A2500" s="748" t="s">
        <v>3064</v>
      </c>
      <c r="B2500" s="748" t="s">
        <v>1671</v>
      </c>
      <c r="H2500" s="748" t="s">
        <v>2523</v>
      </c>
      <c r="M2500" s="748">
        <v>10</v>
      </c>
      <c r="O2500" s="748">
        <f>MIN($M2500, $M2500-O2502-O2503-O2504)</f>
        <v>10</v>
      </c>
      <c r="P2500" s="748">
        <f>MIN($M2500, $M2500-P2502-P2503-P2504)</f>
        <v>10</v>
      </c>
      <c r="Q2500" s="748" t="s">
        <v>651</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1215</v>
      </c>
      <c r="F2503" s="748" t="s">
        <v>3895</v>
      </c>
      <c r="G2503" s="748">
        <f>K2509</f>
        <v>0</v>
      </c>
      <c r="H2503" s="748" t="s">
        <v>4060</v>
      </c>
      <c r="M2503" s="748">
        <v>0</v>
      </c>
      <c r="N2503" s="748" t="s">
        <v>3063</v>
      </c>
      <c r="O2503" s="748">
        <f>'Part IX A-Scoring Criteria'!O11</f>
        <v>0</v>
      </c>
      <c r="P2503" s="748">
        <f>'Part IX A-Scoring Criteria'!P11</f>
        <v>0</v>
      </c>
    </row>
    <row r="2504" spans="1:17">
      <c r="A2504" s="748" t="s">
        <v>1238</v>
      </c>
      <c r="B2504" s="748" t="s">
        <v>3210</v>
      </c>
      <c r="F2504" s="748" t="s">
        <v>3895</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2" customHeight="1">
      <c r="A2507" s="748">
        <f>'Part IX A-Scoring Criteria'!A15</f>
        <v>0</v>
      </c>
    </row>
    <row r="2508" spans="1:17" ht="13.2" customHeight="1">
      <c r="A2508" s="748" t="s">
        <v>2922</v>
      </c>
      <c r="F2508" s="748" t="s">
        <v>2739</v>
      </c>
      <c r="K2508" s="748" t="s">
        <v>2739</v>
      </c>
      <c r="P2508" s="748" t="s">
        <v>2739</v>
      </c>
    </row>
    <row r="2509" spans="1:17">
      <c r="A2509" s="748" t="s">
        <v>3639</v>
      </c>
      <c r="E2509" s="748" t="s">
        <v>785</v>
      </c>
      <c r="F2509" s="748">
        <f>SUM(F2510:F2521)</f>
        <v>0</v>
      </c>
      <c r="G2509" s="748" t="s">
        <v>3640</v>
      </c>
      <c r="J2509" s="748" t="s">
        <v>785</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9</v>
      </c>
      <c r="L2524" s="748" t="s">
        <v>1939</v>
      </c>
      <c r="M2524" s="748">
        <f>IF(OR('Part VI-Revenues &amp; Expenses'!$M$61="", 'Part VI-Revenues &amp; Expenses'!$M$61=0),"",J2524/'Part VI-Revenues &amp; Expenses'!$M$61)</f>
        <v>0.15</v>
      </c>
    </row>
    <row r="2525" spans="1:18">
      <c r="B2525" s="748" t="s">
        <v>333</v>
      </c>
    </row>
    <row r="2526" spans="1:18">
      <c r="A2526" s="748">
        <f>'Part IX A-Scoring Criteria'!A34</f>
        <v>0</v>
      </c>
    </row>
    <row r="2527" spans="1:18">
      <c r="B2527" s="748" t="s">
        <v>2922</v>
      </c>
    </row>
    <row r="2528" spans="1:18">
      <c r="A2528" s="748">
        <f>'Part IX A-Scoring Criteria'!A36</f>
        <v>0</v>
      </c>
    </row>
    <row r="2530" spans="1:17">
      <c r="A2530" s="748" t="s">
        <v>3823</v>
      </c>
      <c r="B2530" s="748" t="s">
        <v>2930</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1238</v>
      </c>
      <c r="B2535" s="748" t="s">
        <v>2934</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f>'Part IX A-Scoring Criteria'!A46</f>
        <v>0</v>
      </c>
      <c r="Q2538" s="748" t="s">
        <v>1932</v>
      </c>
    </row>
    <row r="2539" spans="1:17" ht="13.2" customHeight="1">
      <c r="A2539" s="748">
        <f>'Part IX A-Scoring Criteria'!A47</f>
        <v>0</v>
      </c>
    </row>
    <row r="2540" spans="1:17" ht="13.2" customHeight="1">
      <c r="A2540" s="748">
        <f>'Part IX A-Scoring Criteria'!A48</f>
        <v>0</v>
      </c>
    </row>
    <row r="2541" spans="1:17">
      <c r="B2541" s="748" t="s">
        <v>2922</v>
      </c>
    </row>
    <row r="2542" spans="1:17">
      <c r="A2542" s="748">
        <f>'Part IX A-Scoring Criteria'!A50</f>
        <v>0</v>
      </c>
      <c r="Q2542" s="748" t="s">
        <v>1932</v>
      </c>
    </row>
    <row r="2543" spans="1:17" ht="13.2" customHeight="1">
      <c r="A2543" s="748">
        <f>'Part IX A-Scoring Criteria'!A51</f>
        <v>0</v>
      </c>
    </row>
    <row r="2544" spans="1:17" ht="13.2" customHeight="1">
      <c r="A2544" s="748">
        <f>'Part IX A-Scoring Criteria'!A52</f>
        <v>0</v>
      </c>
    </row>
    <row r="2547" spans="1:17">
      <c r="A2547" s="748" t="s">
        <v>1885</v>
      </c>
      <c r="B2547" s="748" t="s">
        <v>1940</v>
      </c>
      <c r="H2547" s="748" t="s">
        <v>2941</v>
      </c>
      <c r="M2547" s="748">
        <v>2</v>
      </c>
      <c r="O2547" s="748">
        <f>MIN($M2547,(O2548+O2549))</f>
        <v>0</v>
      </c>
      <c r="P2547" s="748">
        <f>MIN($M2547,(P2548+P2549))</f>
        <v>0</v>
      </c>
      <c r="Q2547" s="748" t="s">
        <v>651</v>
      </c>
    </row>
    <row r="2548" spans="1:17">
      <c r="A2548" s="748" t="s">
        <v>3060</v>
      </c>
      <c r="B2548" s="748" t="s">
        <v>1709</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1710</v>
      </c>
      <c r="L2549" s="748" t="str">
        <f>IF(OR($O2549=$M2549,$O2549=0,$O2549=""),"","* * Check Score! * *")</f>
        <v/>
      </c>
      <c r="M2549" s="748">
        <v>1</v>
      </c>
      <c r="N2549" s="748" t="s">
        <v>3063</v>
      </c>
      <c r="O2549" s="748">
        <f>'Part IX A-Scoring Criteria'!O57</f>
        <v>0</v>
      </c>
      <c r="P2549" s="748">
        <f>'Part IX A-Scoring Criteria'!P57</f>
        <v>0</v>
      </c>
    </row>
    <row r="2550" spans="1:17">
      <c r="B2550" s="748" t="s">
        <v>333</v>
      </c>
    </row>
    <row r="2551" spans="1:17">
      <c r="A2551" s="748">
        <f>'Part IX A-Scoring Criteria'!A59</f>
        <v>0</v>
      </c>
    </row>
    <row r="2552" spans="1:17">
      <c r="B2552" s="748" t="s">
        <v>2922</v>
      </c>
    </row>
    <row r="2553" spans="1:17">
      <c r="A2553" s="748">
        <f>'Part IX A-Scoring Criteria'!A61</f>
        <v>0</v>
      </c>
    </row>
    <row r="2554" spans="1:17">
      <c r="A2554" s="748">
        <f>'Part IX A-Scoring Criteria'!A62</f>
        <v>0</v>
      </c>
    </row>
    <row r="2556" spans="1:17" ht="12.6" customHeight="1">
      <c r="A2556" s="748" t="s">
        <v>1886</v>
      </c>
      <c r="B2556" s="748" t="s">
        <v>3704</v>
      </c>
      <c r="E2556" s="748" t="s">
        <v>3706</v>
      </c>
      <c r="I2556" s="748" t="s">
        <v>2941</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t="str">
        <f>'Part IX A-Scoring Criteria'!O65</f>
        <v>N/a</v>
      </c>
      <c r="P2557" s="748">
        <f>'Part IX A-Scoring Criteria'!P65</f>
        <v>0</v>
      </c>
    </row>
    <row r="2558" spans="1:17" ht="12.6" customHeight="1">
      <c r="B2558" s="748" t="s">
        <v>1210</v>
      </c>
      <c r="I2558" s="748">
        <f>'Part IX A-Scoring Criteria'!I66</f>
        <v>0</v>
      </c>
    </row>
    <row r="2559" spans="1:17" ht="12.6" customHeight="1">
      <c r="B2559" s="748" t="s">
        <v>1212</v>
      </c>
      <c r="O2559" s="748" t="str">
        <f>'Part IX A-Scoring Criteria'!O67</f>
        <v>N/a</v>
      </c>
      <c r="P2559" s="748">
        <f>'Part IX A-Scoring Criteria'!P67</f>
        <v>0</v>
      </c>
    </row>
    <row r="2560" spans="1:17" ht="11.4"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2090</v>
      </c>
      <c r="I2566" s="748" t="s">
        <v>2941</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2" customHeight="1">
      <c r="B2575" s="748" t="s">
        <v>2658</v>
      </c>
      <c r="O2575" s="748" t="str">
        <f>'Part IX A-Scoring Criteria'!O83</f>
        <v>Yes</v>
      </c>
      <c r="P2575" s="748">
        <f>'Part IX A-Scoring Criteria'!P83</f>
        <v>0</v>
      </c>
    </row>
    <row r="2576" spans="1:18" ht="14.4" customHeight="1">
      <c r="B2576" s="748" t="s">
        <v>3060</v>
      </c>
      <c r="C2576" s="748" t="s">
        <v>1569</v>
      </c>
      <c r="M2576" s="748" t="str">
        <f>IF(AND($I$89="Stable Communities &lt; 10%",O2576=""), "X","")</f>
        <v/>
      </c>
      <c r="N2576" s="748" t="s">
        <v>3060</v>
      </c>
      <c r="O2576" s="748" t="str">
        <f>'Part IX A-Scoring Criteria'!O84</f>
        <v>Agree</v>
      </c>
      <c r="P2576" s="748">
        <f>'Part IX A-Scoring Criteria'!P84</f>
        <v>0</v>
      </c>
    </row>
    <row r="2577" spans="1:17" ht="13.2" customHeight="1">
      <c r="B2577" s="748" t="s">
        <v>3063</v>
      </c>
      <c r="C2577" s="748" t="s">
        <v>1570</v>
      </c>
      <c r="M2577" s="748" t="str">
        <f>IF(AND($I$89="Stable Communities &lt; 10%",O2577=""), "X","")</f>
        <v/>
      </c>
      <c r="N2577" s="748" t="s">
        <v>3063</v>
      </c>
      <c r="O2577" s="748" t="str">
        <f>'Part IX A-Scoring Criteria'!O85</f>
        <v>Agree</v>
      </c>
      <c r="P2577" s="748">
        <f>'Part IX A-Scoring Criteria'!P85</f>
        <v>0</v>
      </c>
    </row>
    <row r="2578" spans="1:17" ht="13.2" customHeight="1">
      <c r="B2578" s="748" t="s">
        <v>333</v>
      </c>
    </row>
    <row r="2579" spans="1:17">
      <c r="A2579" s="748">
        <f>'Part IX A-Scoring Criteria'!A87</f>
        <v>0</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744</v>
      </c>
      <c r="B2585" s="748" t="s">
        <v>3641</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3060</v>
      </c>
      <c r="B2587" s="748" t="s">
        <v>3794</v>
      </c>
      <c r="M2587" s="748">
        <v>4</v>
      </c>
    </row>
    <row r="2588" spans="1:17">
      <c r="A2588" s="748" t="str">
        <f>'Part IX A-Scoring Criteria'!A96</f>
        <v>X</v>
      </c>
      <c r="B2588" s="748" t="s">
        <v>3064</v>
      </c>
      <c r="C2588" s="748" t="s">
        <v>867</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Yes</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Yes</v>
      </c>
      <c r="P2590" s="748">
        <f>'Part IX A-Scoring Criteria'!P98</f>
        <v>0</v>
      </c>
    </row>
    <row r="2591" spans="1:17">
      <c r="B2591" s="748" t="s">
        <v>3686</v>
      </c>
      <c r="C2591" s="748" t="s">
        <v>2190</v>
      </c>
      <c r="M2591" s="748" t="str">
        <f>IF(AND($I$89="Stable Communities &lt; 10%",O2591=""), "X","")</f>
        <v/>
      </c>
      <c r="N2591" s="748" t="s">
        <v>3686</v>
      </c>
      <c r="O2591" s="748" t="str">
        <f>'Part IX A-Scoring Criteria'!O99</f>
        <v>Yes</v>
      </c>
      <c r="P2591" s="748">
        <f>'Part IX A-Scoring Criteria'!P99</f>
        <v>0</v>
      </c>
    </row>
    <row r="2592" spans="1:17">
      <c r="A2592" s="748" t="str">
        <f>'Part IX A-Scoring Criteria'!A100</f>
        <v/>
      </c>
      <c r="B2592" s="748" t="s">
        <v>3066</v>
      </c>
      <c r="C2592" s="748" t="s">
        <v>867</v>
      </c>
      <c r="O2592" s="748" t="s">
        <v>3795</v>
      </c>
      <c r="P2592" s="748" t="s">
        <v>3795</v>
      </c>
    </row>
    <row r="2593" spans="1:16">
      <c r="B2593" s="748" t="s">
        <v>3682</v>
      </c>
      <c r="C2593" s="748" t="s">
        <v>3707</v>
      </c>
      <c r="G2593" s="748" t="s">
        <v>3626</v>
      </c>
      <c r="M2593" s="748" t="str">
        <f>IF(AND($I$89="Stable Communities &lt; 20%",O2593=""), "X","")</f>
        <v/>
      </c>
      <c r="N2593" s="748" t="s">
        <v>3682</v>
      </c>
      <c r="O2593" s="748" t="str">
        <f>'Part IX A-Scoring Criteria'!O101</f>
        <v>N/a</v>
      </c>
      <c r="P2593" s="748">
        <f>'Part IX A-Scoring Criteria'!P101</f>
        <v>0</v>
      </c>
    </row>
    <row r="2594" spans="1:16">
      <c r="B2594" s="748" t="s">
        <v>3683</v>
      </c>
      <c r="C2594" s="748" t="s">
        <v>3624</v>
      </c>
      <c r="G2594" s="748" t="s">
        <v>3625</v>
      </c>
      <c r="M2594" s="748" t="str">
        <f>IF(AND($I$89="Stable Communities &lt; 20%",O2594=""), "X","")</f>
        <v/>
      </c>
      <c r="N2594" s="748" t="s">
        <v>3683</v>
      </c>
      <c r="O2594" s="748" t="str">
        <f>'Part IX A-Scoring Criteria'!O102</f>
        <v>N/a</v>
      </c>
      <c r="P2594" s="748">
        <f>'Part IX A-Scoring Criteria'!P102</f>
        <v>0</v>
      </c>
    </row>
    <row r="2595" spans="1:16">
      <c r="B2595" s="748" t="s">
        <v>3686</v>
      </c>
      <c r="C2595" s="748" t="s">
        <v>2190</v>
      </c>
      <c r="M2595" s="748" t="str">
        <f>IF(AND($I$89="Stable Communities &lt; 20%",O2595=""), "X","")</f>
        <v/>
      </c>
      <c r="N2595" s="748" t="s">
        <v>3686</v>
      </c>
      <c r="O2595" s="748" t="str">
        <f>'Part IX A-Scoring Criteria'!O103</f>
        <v>N/a</v>
      </c>
      <c r="P2595" s="748">
        <f>'Part IX A-Scoring Criteria'!P103</f>
        <v>0</v>
      </c>
    </row>
    <row r="2596" spans="1:16">
      <c r="A2596" s="748" t="s">
        <v>3063</v>
      </c>
      <c r="B2596" s="748" t="s">
        <v>346</v>
      </c>
      <c r="M2596" s="748">
        <v>6</v>
      </c>
    </row>
    <row r="2597" spans="1:16">
      <c r="A2597" s="748" t="str">
        <f>'Part IX A-Scoring Criteria'!A105</f>
        <v/>
      </c>
      <c r="B2597" s="748" t="s">
        <v>3064</v>
      </c>
      <c r="C2597" s="748" t="s">
        <v>4061</v>
      </c>
      <c r="O2597" s="748" t="s">
        <v>3795</v>
      </c>
      <c r="P2597" s="748" t="s">
        <v>3795</v>
      </c>
    </row>
    <row r="2598" spans="1:16">
      <c r="B2598" s="748" t="s">
        <v>3682</v>
      </c>
      <c r="C2598" s="748" t="s">
        <v>913</v>
      </c>
      <c r="M2598" s="748" t="str">
        <f>IF(AND($I$89="HOPE VI Initiative",O2598=""), "X","")</f>
        <v/>
      </c>
      <c r="N2598" s="748" t="s">
        <v>3682</v>
      </c>
      <c r="O2598" s="748" t="str">
        <f>'Part IX A-Scoring Criteria'!O106</f>
        <v>N/a</v>
      </c>
      <c r="P2598" s="748">
        <f>'Part IX A-Scoring Criteria'!P106</f>
        <v>0</v>
      </c>
    </row>
    <row r="2599" spans="1:16">
      <c r="B2599" s="748" t="s">
        <v>3683</v>
      </c>
      <c r="C2599" s="748" t="s">
        <v>914</v>
      </c>
      <c r="M2599" s="748" t="str">
        <f>IF(AND($I$89="HOPE VI Initiative",O2599=""), "X","")</f>
        <v/>
      </c>
      <c r="N2599" s="748" t="s">
        <v>3683</v>
      </c>
      <c r="O2599" s="748" t="str">
        <f>'Part IX A-Scoring Criteria'!O107</f>
        <v>N/a</v>
      </c>
      <c r="P2599" s="748">
        <f>'Part IX A-Scoring Criteria'!P107</f>
        <v>0</v>
      </c>
    </row>
    <row r="2600" spans="1:16">
      <c r="B2600" s="748" t="s">
        <v>3684</v>
      </c>
      <c r="C2600" s="748" t="s">
        <v>915</v>
      </c>
      <c r="M2600" s="748" t="str">
        <f>IF(AND($I$89="HOPE VI Initiative",O2600=""), "X","")</f>
        <v/>
      </c>
      <c r="N2600" s="748" t="s">
        <v>3684</v>
      </c>
      <c r="O2600" s="748" t="str">
        <f>'Part IX A-Scoring Criteria'!O108</f>
        <v>N/a</v>
      </c>
      <c r="P2600" s="748">
        <f>'Part IX A-Scoring Criteria'!P108</f>
        <v>0</v>
      </c>
    </row>
    <row r="2601" spans="1:16">
      <c r="B2601" s="748" t="s">
        <v>3685</v>
      </c>
      <c r="C2601" s="748" t="s">
        <v>916</v>
      </c>
      <c r="M2601" s="748" t="str">
        <f>IF(AND($I$89="HOPE VI Initiative",O2601=""), "X","")</f>
        <v/>
      </c>
      <c r="N2601" s="748" t="s">
        <v>3685</v>
      </c>
      <c r="O2601" s="748" t="str">
        <f>'Part IX A-Scoring Criteria'!O109</f>
        <v>N/a</v>
      </c>
      <c r="P2601" s="748">
        <f>'Part IX A-Scoring Criteria'!P109</f>
        <v>0</v>
      </c>
    </row>
    <row r="2602" spans="1:16">
      <c r="B2602" s="748" t="s">
        <v>3066</v>
      </c>
      <c r="C2602" s="748" t="s">
        <v>539</v>
      </c>
      <c r="G2602" s="748" t="s">
        <v>920</v>
      </c>
      <c r="N2602" s="748" t="s">
        <v>3066</v>
      </c>
      <c r="O2602" s="748" t="str">
        <f>'Part IX A-Scoring Criteria'!O110</f>
        <v>N/a</v>
      </c>
      <c r="P2602" s="748">
        <f>'Part IX A-Scoring Criteria'!P110</f>
        <v>0</v>
      </c>
    </row>
    <row r="2603" spans="1:16">
      <c r="A2603" s="748" t="str">
        <f>'Part IX A-Scoring Criteria'!A111</f>
        <v/>
      </c>
      <c r="B2603" s="748" t="s">
        <v>3823</v>
      </c>
      <c r="C2603" s="748" t="s">
        <v>540</v>
      </c>
      <c r="G2603" s="748" t="s">
        <v>1650</v>
      </c>
      <c r="H2603" s="748" t="str">
        <f>'Part IX A-Scoring Criteria'!H111</f>
        <v>&lt;&lt;Select&gt;&gt;</v>
      </c>
      <c r="I2603" s="748" t="s">
        <v>1562</v>
      </c>
      <c r="J2603" s="748">
        <f>'Part IX A-Scoring Criteria'!J111</f>
        <v>0</v>
      </c>
      <c r="N2603" s="748" t="s">
        <v>3823</v>
      </c>
      <c r="O2603" s="748" t="str">
        <f>'Part IX A-Scoring Criteria'!O111</f>
        <v>N/a</v>
      </c>
      <c r="P2603" s="748">
        <f>'Part IX A-Scoring Criteria'!P111</f>
        <v>0</v>
      </c>
    </row>
    <row r="2604" spans="1:16">
      <c r="A2604" s="748" t="str">
        <f>'Part IX A-Scoring Criteria'!A112</f>
        <v/>
      </c>
      <c r="B2604" s="748" t="s">
        <v>1885</v>
      </c>
      <c r="C2604" s="748" t="s">
        <v>3611</v>
      </c>
      <c r="G2604" s="748" t="s">
        <v>636</v>
      </c>
      <c r="H2604" s="748">
        <f>'Part IX A-Scoring Criteria'!H112</f>
        <v>0</v>
      </c>
      <c r="N2604" s="748" t="s">
        <v>1885</v>
      </c>
      <c r="O2604" s="748" t="str">
        <f>'Part IX A-Scoring Criteria'!O112</f>
        <v>N/a</v>
      </c>
      <c r="P2604" s="748">
        <f>'Part IX A-Scoring Criteria'!P112</f>
        <v>0</v>
      </c>
    </row>
    <row r="2605" spans="1:16">
      <c r="B2605" s="748" t="s">
        <v>3682</v>
      </c>
      <c r="C2605" s="748" t="s">
        <v>921</v>
      </c>
      <c r="G2605" s="748" t="s">
        <v>919</v>
      </c>
      <c r="H2605" s="748">
        <f>'Part IX A-Scoring Criteria'!H113</f>
        <v>0</v>
      </c>
      <c r="M2605" s="748" t="str">
        <f>IF(AND($I$89="Local Redevelopment Plan",O2605=""), "X","")</f>
        <v/>
      </c>
      <c r="N2605" s="748" t="s">
        <v>3682</v>
      </c>
      <c r="O2605" s="748" t="str">
        <f>'Part IX A-Scoring Criteria'!O113</f>
        <v>N/a</v>
      </c>
      <c r="P2605" s="748">
        <f>'Part IX A-Scoring Criteria'!P113</f>
        <v>0</v>
      </c>
    </row>
    <row r="2606" spans="1:16">
      <c r="B2606" s="748" t="s">
        <v>3683</v>
      </c>
      <c r="C2606" s="748" t="s">
        <v>3711</v>
      </c>
      <c r="N2606" s="748" t="s">
        <v>3683</v>
      </c>
      <c r="O2606" s="748" t="str">
        <f>'Part IX A-Scoring Criteria'!O114</f>
        <v>N/a</v>
      </c>
      <c r="P2606" s="748">
        <f>'Part IX A-Scoring Criteria'!P114</f>
        <v>0</v>
      </c>
    </row>
    <row r="2607" spans="1:16">
      <c r="B2607" s="748" t="s">
        <v>3684</v>
      </c>
      <c r="C2607" s="748" t="s">
        <v>3712</v>
      </c>
      <c r="M2607" s="748" t="str">
        <f t="shared" ref="M2607:M2616" si="374">IF(AND($I$89="Local Redevelopment Plan",O2607=""), "X","")</f>
        <v/>
      </c>
      <c r="N2607" s="748" t="s">
        <v>3684</v>
      </c>
      <c r="O2607" s="748" t="str">
        <f>'Part IX A-Scoring Criteria'!O115</f>
        <v>N/a</v>
      </c>
      <c r="P2607" s="748">
        <f>'Part IX A-Scoring Criteria'!P115</f>
        <v>0</v>
      </c>
    </row>
    <row r="2608" spans="1:16">
      <c r="B2608" s="748" t="s">
        <v>3685</v>
      </c>
      <c r="C2608" s="748" t="s">
        <v>3713</v>
      </c>
      <c r="M2608" s="748" t="str">
        <f t="shared" si="374"/>
        <v/>
      </c>
      <c r="N2608" s="748" t="s">
        <v>3685</v>
      </c>
      <c r="O2608" s="748" t="str">
        <f>'Part IX A-Scoring Criteria'!O116</f>
        <v>N/a</v>
      </c>
      <c r="P2608" s="748">
        <f>'Part IX A-Scoring Criteria'!P116</f>
        <v>0</v>
      </c>
    </row>
    <row r="2609" spans="1:17">
      <c r="B2609" s="748" t="s">
        <v>3686</v>
      </c>
      <c r="C2609" s="748" t="s">
        <v>3714</v>
      </c>
      <c r="M2609" s="748" t="str">
        <f t="shared" si="374"/>
        <v/>
      </c>
      <c r="N2609" s="748" t="s">
        <v>3686</v>
      </c>
      <c r="O2609" s="748" t="str">
        <f>'Part IX A-Scoring Criteria'!O117</f>
        <v>N/a</v>
      </c>
      <c r="P2609" s="748">
        <f>'Part IX A-Scoring Criteria'!P117</f>
        <v>0</v>
      </c>
    </row>
    <row r="2610" spans="1:17">
      <c r="B2610" s="748" t="s">
        <v>3709</v>
      </c>
      <c r="C2610" s="748" t="s">
        <v>3715</v>
      </c>
      <c r="M2610" s="748" t="str">
        <f t="shared" si="374"/>
        <v/>
      </c>
      <c r="N2610" s="748" t="s">
        <v>3709</v>
      </c>
      <c r="O2610" s="748" t="str">
        <f>'Part IX A-Scoring Criteria'!O118</f>
        <v>N/a</v>
      </c>
      <c r="P2610" s="748">
        <f>'Part IX A-Scoring Criteria'!P118</f>
        <v>0</v>
      </c>
    </row>
    <row r="2611" spans="1:17">
      <c r="B2611" s="748" t="s">
        <v>3710</v>
      </c>
      <c r="C2611" s="748" t="s">
        <v>3716</v>
      </c>
      <c r="M2611" s="748" t="str">
        <f t="shared" si="374"/>
        <v/>
      </c>
      <c r="N2611" s="748" t="s">
        <v>3710</v>
      </c>
      <c r="O2611" s="748" t="str">
        <f>'Part IX A-Scoring Criteria'!O119</f>
        <v>N/a</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t="str">
        <f>'Part IX A-Scoring Criteria'!O121</f>
        <v>N/a</v>
      </c>
      <c r="P2613" s="748">
        <f>'Part IX A-Scoring Criteria'!P121</f>
        <v>0</v>
      </c>
    </row>
    <row r="2614" spans="1:17">
      <c r="B2614" s="748" t="s">
        <v>3718</v>
      </c>
      <c r="C2614" s="748" t="s">
        <v>3722</v>
      </c>
      <c r="M2614" s="748" t="str">
        <f t="shared" si="374"/>
        <v/>
      </c>
      <c r="N2614" s="748" t="s">
        <v>3718</v>
      </c>
      <c r="O2614" s="748" t="str">
        <f>'Part IX A-Scoring Criteria'!O122</f>
        <v>N/a</v>
      </c>
      <c r="P2614" s="748">
        <f>'Part IX A-Scoring Criteria'!P122</f>
        <v>0</v>
      </c>
    </row>
    <row r="2615" spans="1:17">
      <c r="B2615" s="748" t="s">
        <v>3719</v>
      </c>
      <c r="C2615" s="748" t="s">
        <v>3723</v>
      </c>
      <c r="M2615" s="748" t="str">
        <f t="shared" si="374"/>
        <v/>
      </c>
      <c r="N2615" s="748" t="s">
        <v>3719</v>
      </c>
      <c r="O2615" s="748" t="str">
        <f>'Part IX A-Scoring Criteria'!O123</f>
        <v>N/a</v>
      </c>
      <c r="P2615" s="748">
        <f>'Part IX A-Scoring Criteria'!P123</f>
        <v>0</v>
      </c>
    </row>
    <row r="2616" spans="1:17">
      <c r="B2616" s="748" t="s">
        <v>918</v>
      </c>
      <c r="C2616" s="748" t="s">
        <v>3724</v>
      </c>
      <c r="M2616" s="748" t="str">
        <f t="shared" si="374"/>
        <v/>
      </c>
      <c r="N2616" s="748" t="s">
        <v>918</v>
      </c>
      <c r="O2616" s="748" t="str">
        <f>'Part IX A-Scoring Criteria'!O124</f>
        <v>N/a</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504</v>
      </c>
      <c r="M2624" s="748">
        <v>3</v>
      </c>
      <c r="O2624" s="748">
        <f>MIN($M2624,(O2625+O2631))</f>
        <v>3</v>
      </c>
      <c r="P2624" s="748">
        <f>MIN($M2624,(P2625+P2631))</f>
        <v>3</v>
      </c>
      <c r="Q2624" s="748" t="s">
        <v>651</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3</v>
      </c>
      <c r="P2625" s="748">
        <f>'Part IX A-Scoring Criteria'!P133</f>
        <v>0</v>
      </c>
    </row>
    <row r="2626" spans="1:17" ht="13.2" customHeight="1">
      <c r="B2626" s="748" t="s">
        <v>3064</v>
      </c>
      <c r="C2626" s="748" t="s">
        <v>1564</v>
      </c>
      <c r="N2626" s="748" t="s">
        <v>3064</v>
      </c>
      <c r="O2626" s="748" t="str">
        <f>'Part IX A-Scoring Criteria'!O134</f>
        <v>No</v>
      </c>
      <c r="P2626" s="748">
        <f>'Part IX A-Scoring Criteria'!P134</f>
        <v>0</v>
      </c>
    </row>
    <row r="2627" spans="1:17" ht="13.2" customHeight="1">
      <c r="C2627" s="748" t="s">
        <v>1565</v>
      </c>
      <c r="H2627" s="748" t="s">
        <v>1563</v>
      </c>
      <c r="I2627" s="748">
        <f>'Part IX A-Scoring Criteria'!I135</f>
        <v>0</v>
      </c>
      <c r="J2627" s="748" t="s">
        <v>951</v>
      </c>
      <c r="K2627" s="748">
        <f>'Part IX A-Scoring Criteria'!K135</f>
        <v>0</v>
      </c>
    </row>
    <row r="2628" spans="1:17">
      <c r="B2628" s="748" t="s">
        <v>3066</v>
      </c>
      <c r="C2628" s="748" t="s">
        <v>1566</v>
      </c>
      <c r="L2628" s="748" t="str">
        <f>IF(OR($O2628=$M2628,$O2628=0,$O2628=""),"","* * Check Score! * *")</f>
        <v>* * Check Score! * *</v>
      </c>
      <c r="N2628" s="748" t="s">
        <v>3066</v>
      </c>
      <c r="O2628" s="748" t="str">
        <f>'Part IX A-Scoring Criteria'!O136</f>
        <v>N/a</v>
      </c>
      <c r="P2628" s="748">
        <f>'Part IX A-Scoring Criteria'!P136</f>
        <v>0</v>
      </c>
    </row>
    <row r="2629" spans="1:17">
      <c r="B2629" s="748" t="s">
        <v>3823</v>
      </c>
      <c r="C2629" s="748" t="s">
        <v>1567</v>
      </c>
      <c r="L2629" s="748" t="str">
        <f>IF(OR($O2629=$M2629,$O2629=0,$O2629=""),"","* * Check Score! * *")</f>
        <v>* * Check Score! * *</v>
      </c>
      <c r="N2629" s="748" t="s">
        <v>3823</v>
      </c>
      <c r="O2629" s="748" t="str">
        <f>'Part IX A-Scoring Criteria'!O137</f>
        <v>N/a</v>
      </c>
      <c r="P2629" s="748">
        <f>'Part IX A-Scoring Criteria'!P137</f>
        <v>0</v>
      </c>
    </row>
    <row r="2630" spans="1:17">
      <c r="B2630" s="748" t="s">
        <v>1885</v>
      </c>
      <c r="C2630" s="748" t="s">
        <v>1568</v>
      </c>
      <c r="L2630" s="748" t="str">
        <f>IF(OR($O2630=$M2630,$O2630=0,$O2630=""),"","* * Check Score! * *")</f>
        <v>* * Check Score! * *</v>
      </c>
      <c r="N2630" s="748" t="s">
        <v>1885</v>
      </c>
      <c r="O2630" s="748" t="str">
        <f>'Part IX A-Scoring Criteria'!O138</f>
        <v>N/a</v>
      </c>
      <c r="P2630" s="748">
        <f>'Part IX A-Scoring Criteria'!P138</f>
        <v>0</v>
      </c>
    </row>
    <row r="2631" spans="1:17">
      <c r="A2631" s="748" t="s">
        <v>2055</v>
      </c>
      <c r="B2631" s="748" t="s">
        <v>3063</v>
      </c>
      <c r="C2631" s="748" t="s">
        <v>3359</v>
      </c>
      <c r="M2631" s="748">
        <v>3</v>
      </c>
      <c r="N2631" s="748" t="s">
        <v>3063</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3795</v>
      </c>
    </row>
    <row r="2640" spans="1:17">
      <c r="A2640" s="748" t="s">
        <v>3682</v>
      </c>
      <c r="B2640" s="748" t="s">
        <v>3727</v>
      </c>
      <c r="O2640" s="748" t="s">
        <v>3682</v>
      </c>
      <c r="P2640" s="748">
        <f>'Part IX A-Scoring Criteria'!P148</f>
        <v>0</v>
      </c>
    </row>
    <row r="2641" spans="1:16" ht="13.2" customHeight="1">
      <c r="A2641" s="748" t="s">
        <v>3683</v>
      </c>
      <c r="B2641" s="748" t="s">
        <v>3728</v>
      </c>
      <c r="O2641" s="748" t="s">
        <v>3683</v>
      </c>
      <c r="P2641" s="748">
        <f>'Part IX A-Scoring Criteria'!P149</f>
        <v>0</v>
      </c>
    </row>
    <row r="2642" spans="1:16" ht="13.2"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2" customHeight="1">
      <c r="A2644" s="748" t="s">
        <v>3686</v>
      </c>
      <c r="B2644" s="748" t="s">
        <v>3341</v>
      </c>
      <c r="O2644" s="748" t="s">
        <v>3686</v>
      </c>
      <c r="P2644" s="748">
        <f>'Part IX A-Scoring Criteria'!P152</f>
        <v>0</v>
      </c>
    </row>
    <row r="2645" spans="1:16" ht="13.2" customHeight="1">
      <c r="A2645" s="748" t="s">
        <v>3709</v>
      </c>
      <c r="B2645" s="748" t="s">
        <v>3342</v>
      </c>
      <c r="O2645" s="748" t="s">
        <v>3709</v>
      </c>
      <c r="P2645" s="748">
        <f>'Part IX A-Scoring Criteria'!P153</f>
        <v>0</v>
      </c>
    </row>
    <row r="2646" spans="1:16">
      <c r="A2646" s="748" t="s">
        <v>3710</v>
      </c>
      <c r="B2646" s="748" t="s">
        <v>2667</v>
      </c>
      <c r="O2646" s="748" t="s">
        <v>3710</v>
      </c>
      <c r="P2646" s="748">
        <f>'Part IX A-Scoring Criteria'!P154</f>
        <v>0</v>
      </c>
    </row>
    <row r="2647" spans="1:16">
      <c r="A2647" s="748" t="s">
        <v>3717</v>
      </c>
      <c r="B2647" s="748" t="s">
        <v>2668</v>
      </c>
      <c r="O2647" s="748" t="s">
        <v>3717</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504</v>
      </c>
      <c r="M2658" s="748">
        <v>1</v>
      </c>
      <c r="O2658" s="748">
        <f>MIN($M2658,SUM(O2659:O2660))</f>
        <v>1</v>
      </c>
      <c r="P2658" s="748">
        <f>MIN($M2658,SUM(P2659:P2660))</f>
        <v>0</v>
      </c>
      <c r="Q2658" s="748" t="s">
        <v>651</v>
      </c>
    </row>
    <row r="2659" spans="1:18">
      <c r="B2659" s="748" t="s">
        <v>3060</v>
      </c>
      <c r="C2659" s="748" t="s">
        <v>3361</v>
      </c>
      <c r="K2659" s="748" t="s">
        <v>2215</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504</v>
      </c>
      <c r="M2667" s="748">
        <v>6</v>
      </c>
      <c r="O2667" s="748">
        <f>MIN($M2667,(O2668+O2672))</f>
        <v>0</v>
      </c>
      <c r="P2667" s="748">
        <f>MIN($M2667,(P2668+P2672))</f>
        <v>0</v>
      </c>
      <c r="Q2667" s="748" t="s">
        <v>651</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 customHeight="1">
      <c r="C2669" s="748" t="s">
        <v>190</v>
      </c>
      <c r="O2669" s="748">
        <f>'Part IX A-Scoring Criteria'!O177</f>
        <v>0</v>
      </c>
      <c r="P2669" s="748">
        <f>'Part IX A-Scoring Criteria'!P177</f>
        <v>0</v>
      </c>
    </row>
    <row r="2670" spans="1:18" ht="14.4" customHeight="1">
      <c r="A2670" s="748" t="str">
        <f>IF($I$89="HOPE VI Initiative", "X","")</f>
        <v/>
      </c>
      <c r="B2670" s="748" t="s">
        <v>3064</v>
      </c>
      <c r="C2670" s="748" t="s">
        <v>3612</v>
      </c>
      <c r="M2670" s="748">
        <v>3</v>
      </c>
    </row>
    <row r="2671" spans="1:18" ht="14.4" customHeight="1">
      <c r="A2671" s="748" t="str">
        <f>IF($I$89="HOPE VI Initiative", "X","")</f>
        <v/>
      </c>
      <c r="B2671" s="748" t="s">
        <v>3066</v>
      </c>
      <c r="C2671" s="748" t="s">
        <v>2902</v>
      </c>
      <c r="M2671" s="748">
        <v>1</v>
      </c>
    </row>
    <row r="2672" spans="1:18" ht="14.4" customHeight="1">
      <c r="B2672" s="748" t="s">
        <v>3063</v>
      </c>
      <c r="C2672" s="748" t="s">
        <v>2669</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2671</v>
      </c>
      <c r="M2673" s="748">
        <v>6</v>
      </c>
      <c r="N2673" s="748" t="s">
        <v>3064</v>
      </c>
      <c r="O2673" s="748">
        <f>'Part IX A-Scoring Criteria'!O181</f>
        <v>0</v>
      </c>
      <c r="P2673" s="748">
        <f>'Part IX A-Scoring Criteria'!P181</f>
        <v>0</v>
      </c>
    </row>
    <row r="2674" spans="1:18">
      <c r="B2674" s="748" t="s">
        <v>3066</v>
      </c>
      <c r="C2674" s="748" t="s">
        <v>2672</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2670</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3060</v>
      </c>
      <c r="B2684" s="748" t="s">
        <v>922</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3060</v>
      </c>
      <c r="B2692" s="748" t="s">
        <v>4062</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4063</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 xml:space="preserve">John H Collins, the owner, and Potemkin Development, Inc. has participated as GP and developer in Cameron Court Phase II, L.P. (2009-056) which closed equity on 10/21/10 and Village at Walkers Bend, L.P. (2010-043) which closed on 06/22/11. See Tab 35 for letters from our two closing attorneys. </v>
      </c>
    </row>
    <row r="2696" spans="1:18">
      <c r="B2696" s="748" t="s">
        <v>2922</v>
      </c>
    </row>
    <row r="2697" spans="1:18">
      <c r="A2697" s="748">
        <f>'Part IX A-Scoring Criteria'!A205</f>
        <v>0</v>
      </c>
    </row>
    <row r="2699" spans="1:18">
      <c r="A2699" s="748" t="s">
        <v>2676</v>
      </c>
      <c r="B2699" s="748" t="s">
        <v>1037</v>
      </c>
      <c r="J2699" s="748" t="s">
        <v>3642</v>
      </c>
      <c r="L2699" s="748" t="str">
        <f>IF(OR($O2699=$M2699,$O2699=0,$O2699=2,$O2699=""),"","* * Check Score! * *")</f>
        <v/>
      </c>
      <c r="M2699" s="748">
        <v>3</v>
      </c>
      <c r="O2699" s="748">
        <f>IF(OR(AND(J2701=2,M2701=3),AND(J2701=0,M2701=3)),3,IF(AND(J2701=3,M2701=2),2,0))</f>
        <v>3</v>
      </c>
      <c r="P2699" s="748">
        <f>'Part IX A-Scoring Criteria'!P207</f>
        <v>0</v>
      </c>
      <c r="Q2699" s="748" t="s">
        <v>651</v>
      </c>
    </row>
    <row r="2700" spans="1:18" ht="13.2" customHeight="1">
      <c r="B2700" s="748" t="s">
        <v>1571</v>
      </c>
    </row>
    <row r="2701" spans="1:18">
      <c r="C2701" s="748" t="s">
        <v>951</v>
      </c>
      <c r="D2701" s="748">
        <f>'Part IX A-Scoring Criteria'!D209</f>
        <v>0</v>
      </c>
      <c r="I2701" s="748" t="s">
        <v>1572</v>
      </c>
      <c r="J2701" s="748">
        <f>'Part IX A-Scoring Criteria'!J209</f>
        <v>0</v>
      </c>
      <c r="L2701" s="748" t="s">
        <v>4064</v>
      </c>
      <c r="M2701" s="748">
        <f>'Part IX A-Scoring Criteria'!M209</f>
        <v>3</v>
      </c>
    </row>
    <row r="2702" spans="1:18">
      <c r="B2702" s="748" t="s">
        <v>333</v>
      </c>
      <c r="J2702" s="748" t="s">
        <v>2922</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2679</v>
      </c>
      <c r="G2707" s="748" t="str">
        <f>'Part IX A-Scoring Criteria'!G215</f>
        <v>&lt; Select applicable GICH &gt;</v>
      </c>
      <c r="J2707" s="748" t="str">
        <f>'Part IX A-Scoring Criteria'!J215</f>
        <v>&lt;Select Community of Opportunity&gt;</v>
      </c>
      <c r="N2707" s="748" t="s">
        <v>3682</v>
      </c>
      <c r="O2707" s="748" t="str">
        <f>'Part IX A-Scoring Criteria'!O215</f>
        <v>N/a</v>
      </c>
      <c r="P2707" s="748">
        <f>'Part IX A-Scoring Criteria'!P215</f>
        <v>0</v>
      </c>
    </row>
    <row r="2708" spans="1:17">
      <c r="B2708" s="748" t="s">
        <v>3683</v>
      </c>
      <c r="C2708" s="748" t="s">
        <v>505</v>
      </c>
      <c r="N2708" s="748" t="s">
        <v>3683</v>
      </c>
      <c r="O2708" s="748" t="str">
        <f>'Part IX A-Scoring Criteria'!O216</f>
        <v>N/a</v>
      </c>
      <c r="P2708" s="748">
        <f>'Part IX A-Scoring Criteria'!P216</f>
        <v>0</v>
      </c>
    </row>
    <row r="2709" spans="1:17">
      <c r="B2709" s="748" t="s">
        <v>3684</v>
      </c>
      <c r="C2709" s="748" t="s">
        <v>2624</v>
      </c>
      <c r="N2709" s="748" t="s">
        <v>3684</v>
      </c>
      <c r="O2709" s="748" t="str">
        <f>'Part IX A-Scoring Criteria'!O217</f>
        <v>N/a</v>
      </c>
      <c r="P2709" s="748">
        <f>'Part IX A-Scoring Criteria'!P217</f>
        <v>0</v>
      </c>
    </row>
    <row r="2710" spans="1:17">
      <c r="B2710" s="748" t="s">
        <v>3685</v>
      </c>
      <c r="C2710" s="748" t="s">
        <v>3491</v>
      </c>
      <c r="N2710" s="748" t="s">
        <v>3685</v>
      </c>
      <c r="O2710" s="748" t="str">
        <f>'Part IX A-Scoring Criteria'!O218</f>
        <v>N/a</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2680</v>
      </c>
      <c r="B2719" s="748" t="s">
        <v>2894</v>
      </c>
      <c r="L2719" s="748" t="str">
        <f>IF(M2719&gt;14,"Over limit!","")</f>
        <v/>
      </c>
      <c r="M2719" s="748">
        <v>8</v>
      </c>
      <c r="O2719" s="748">
        <f>MIN($M2719,(O2727+O2737+O2739))</f>
        <v>2</v>
      </c>
      <c r="P2719" s="748">
        <f>MIN($M2719,(P2727+P2737+P2739))</f>
        <v>0</v>
      </c>
      <c r="Q2719" s="748" t="s">
        <v>651</v>
      </c>
    </row>
    <row r="2720" spans="1:17">
      <c r="B2720" s="748" t="s">
        <v>868</v>
      </c>
      <c r="L2720" s="748" t="str">
        <f>IF(M2720&gt;14,"Over limit!","")</f>
        <v/>
      </c>
      <c r="O2720" s="748" t="s">
        <v>3795</v>
      </c>
      <c r="P2720" s="748" t="s">
        <v>3795</v>
      </c>
    </row>
    <row r="2721" spans="1:18">
      <c r="B2721" s="748" t="s">
        <v>3064</v>
      </c>
      <c r="C2721" s="748" t="s">
        <v>869</v>
      </c>
      <c r="L2721" s="748" t="str">
        <f>IF(M2721&gt;14,"Over limit!","")</f>
        <v/>
      </c>
      <c r="N2721" s="748" t="s">
        <v>3064</v>
      </c>
      <c r="O2721" s="748" t="str">
        <f>'Part IX A-Scoring Criteria'!O229</f>
        <v>N/a</v>
      </c>
      <c r="P2721" s="748">
        <f>'Part IX A-Scoring Criteria'!P229</f>
        <v>0</v>
      </c>
    </row>
    <row r="2722" spans="1:18">
      <c r="B2722" s="748" t="s">
        <v>3066</v>
      </c>
      <c r="C2722" s="748" t="s">
        <v>870</v>
      </c>
      <c r="N2722" s="748" t="s">
        <v>3066</v>
      </c>
      <c r="O2722" s="748" t="str">
        <f>'Part IX A-Scoring Criteria'!O230</f>
        <v>N/a</v>
      </c>
      <c r="P2722" s="748">
        <f>'Part IX A-Scoring Criteria'!P230</f>
        <v>0</v>
      </c>
    </row>
    <row r="2723" spans="1:18">
      <c r="B2723" s="748" t="s">
        <v>3823</v>
      </c>
      <c r="C2723" s="748" t="s">
        <v>871</v>
      </c>
      <c r="N2723" s="748" t="s">
        <v>3823</v>
      </c>
      <c r="O2723" s="748" t="str">
        <f>'Part IX A-Scoring Criteria'!O231</f>
        <v>N/a</v>
      </c>
      <c r="P2723" s="748">
        <f>'Part IX A-Scoring Criteria'!P231</f>
        <v>0</v>
      </c>
    </row>
    <row r="2724" spans="1:18">
      <c r="B2724" s="748" t="s">
        <v>1885</v>
      </c>
      <c r="C2724" s="748" t="s">
        <v>872</v>
      </c>
      <c r="N2724" s="748" t="s">
        <v>1885</v>
      </c>
      <c r="O2724" s="748" t="str">
        <f>'Part IX A-Scoring Criteria'!O232</f>
        <v>N/a</v>
      </c>
      <c r="P2724" s="748">
        <f>'Part IX A-Scoring Criteria'!P232</f>
        <v>0</v>
      </c>
    </row>
    <row r="2725" spans="1:18">
      <c r="B2725" s="748" t="s">
        <v>1886</v>
      </c>
      <c r="C2725" s="748" t="s">
        <v>884</v>
      </c>
      <c r="N2725" s="748" t="s">
        <v>1886</v>
      </c>
      <c r="O2725" s="748" t="str">
        <f>'Part IX A-Scoring Criteria'!O233</f>
        <v>N/a</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2216</v>
      </c>
      <c r="H2728" s="748" t="s">
        <v>2217</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2220</v>
      </c>
      <c r="H2729" s="748" t="s">
        <v>2217</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2224</v>
      </c>
      <c r="H2730" s="748" t="s">
        <v>2217</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2943</v>
      </c>
      <c r="C2733" s="748" t="s">
        <v>2222</v>
      </c>
      <c r="H2733" s="748" t="s">
        <v>2218</v>
      </c>
      <c r="L2733" s="748" t="str">
        <f t="shared" si="375"/>
        <v/>
      </c>
      <c r="M2733" s="748">
        <v>2</v>
      </c>
      <c r="N2733" s="748" t="s">
        <v>2943</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2</v>
      </c>
      <c r="P2739" s="748">
        <f>'Part IX A-Scoring Criteria'!P247</f>
        <v>0</v>
      </c>
      <c r="R2739" s="748" t="str">
        <f>IF(OR($O2739=$M2739,$O2739=0,$O2739=""),"","* * Check Score! * *")</f>
        <v/>
      </c>
    </row>
    <row r="2740" spans="1:18">
      <c r="B2740" s="748" t="s">
        <v>3064</v>
      </c>
      <c r="C2740" s="748" t="s">
        <v>983</v>
      </c>
      <c r="E2740" s="748" t="str">
        <f>'Part IX A-Scoring Criteria'!E248</f>
        <v>City of Hampton</v>
      </c>
    </row>
    <row r="2741" spans="1:18">
      <c r="B2741" s="748" t="s">
        <v>3066</v>
      </c>
      <c r="C2741" s="748" t="s">
        <v>3561</v>
      </c>
      <c r="E2741" s="748" t="str">
        <f>'Part IX A-Scoring Criteria'!E249</f>
        <v xml:space="preserve">Construction of a senior center and extension of sidewalks that connects to our site should our project be awarded. </v>
      </c>
    </row>
    <row r="2742" spans="1:18">
      <c r="B2742" s="748" t="s">
        <v>3823</v>
      </c>
      <c r="C2742" s="748" t="s">
        <v>984</v>
      </c>
      <c r="E2742" s="748" t="str">
        <f>'Part IX A-Scoring Criteria'!E250</f>
        <v>$2.3 million (est.)</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3517</v>
      </c>
      <c r="O2752" s="748" t="str">
        <f>'Part IX A-Scoring Criteria'!O260</f>
        <v>No</v>
      </c>
      <c r="P2752" s="748">
        <f>'Part IX A-Scoring Criteria'!P260</f>
        <v>0</v>
      </c>
    </row>
    <row r="2753" spans="1:18" ht="14.4" customHeight="1">
      <c r="B2753" s="748" t="s">
        <v>3518</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3060</v>
      </c>
      <c r="B2763" s="748" t="s">
        <v>2687</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2688</v>
      </c>
      <c r="M2764" s="748">
        <v>3</v>
      </c>
      <c r="N2764" s="748" t="s">
        <v>3063</v>
      </c>
      <c r="O2764" s="748">
        <f>'Part IX A-Scoring Criteria'!O272</f>
        <v>3</v>
      </c>
      <c r="P2764" s="748">
        <f>'Part IX A-Scoring Criteria'!P272</f>
        <v>0</v>
      </c>
      <c r="R2764" s="748" t="str">
        <f>IF(OR($O2764=$M2764,$O2764=0,$O2764=""),"","* * Check Score! * *")</f>
        <v/>
      </c>
    </row>
    <row r="2765" spans="1:18" ht="14.4" customHeight="1">
      <c r="B2765" s="748" t="s">
        <v>3519</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2922</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3837</v>
      </c>
      <c r="O2773" s="748">
        <f>'Part IX A-Scoring Criteria'!O281</f>
        <v>0</v>
      </c>
      <c r="P2773" s="748">
        <f>'Part IX A-Scoring Criteria'!P281</f>
        <v>0</v>
      </c>
    </row>
    <row r="2775" spans="1:17">
      <c r="B2775" s="748" t="s">
        <v>3060</v>
      </c>
      <c r="C2775" s="748" t="s">
        <v>2160</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1932</v>
      </c>
    </row>
    <row r="2781" spans="1:17">
      <c r="A2781" s="748">
        <f>'Part IX A-Scoring Criteria'!A289</f>
        <v>0</v>
      </c>
    </row>
    <row r="2782" spans="1:17">
      <c r="B2782" s="748" t="s">
        <v>2922</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60</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14" sqref="D214"/>
    </sheetView>
  </sheetViews>
  <sheetFormatPr defaultColWidth="9.109375" defaultRowHeight="13.2"/>
  <cols>
    <col min="1" max="1" width="88.44140625" style="31" customWidth="1"/>
    <col min="2" max="16384" width="9.109375" style="31"/>
  </cols>
  <sheetData>
    <row r="1" spans="1:6" ht="15.6">
      <c r="A1" s="787" t="s">
        <v>1590</v>
      </c>
    </row>
    <row r="2" spans="1:6" ht="13.8">
      <c r="A2" s="788" t="str">
        <f>'Part I-Project Information'!F22</f>
        <v xml:space="preserve">Hampton Court </v>
      </c>
    </row>
    <row r="3" spans="1:6" ht="13.8">
      <c r="A3" s="788" t="str">
        <f>CONCATENATE('Part I-Project Information'!F24,", ", 'Part I-Project Information'!J25," County")</f>
        <v>Hampton, Henry County</v>
      </c>
    </row>
    <row r="4" spans="1:6" ht="12" customHeight="1"/>
    <row r="5" spans="1:6" ht="101.1" customHeight="1">
      <c r="A5" s="789" t="s">
        <v>4018</v>
      </c>
      <c r="B5" s="945" t="s">
        <v>1591</v>
      </c>
      <c r="C5" s="945"/>
      <c r="D5" s="945"/>
      <c r="E5" s="945"/>
      <c r="F5" s="945"/>
    </row>
    <row r="6" spans="1:6" ht="6.6" customHeight="1">
      <c r="A6" s="790"/>
      <c r="B6" s="945"/>
      <c r="C6" s="945"/>
      <c r="D6" s="945"/>
      <c r="E6" s="945"/>
      <c r="F6" s="945"/>
    </row>
    <row r="7" spans="1:6" ht="71.099999999999994" customHeight="1">
      <c r="A7" s="789" t="s">
        <v>4012</v>
      </c>
    </row>
    <row r="8" spans="1:6" ht="6.6" customHeight="1">
      <c r="A8" s="790"/>
    </row>
    <row r="9" spans="1:6" ht="41.1" customHeight="1">
      <c r="A9" s="789" t="s">
        <v>4013</v>
      </c>
    </row>
    <row r="10" spans="1:6" ht="6.6" customHeight="1">
      <c r="A10" s="790"/>
    </row>
    <row r="11" spans="1:6" ht="36" customHeight="1">
      <c r="A11" s="789" t="s">
        <v>4014</v>
      </c>
    </row>
    <row r="12" spans="1:6" ht="6.6" customHeight="1">
      <c r="A12" s="790"/>
    </row>
    <row r="13" spans="1:6" ht="45.9" customHeight="1">
      <c r="A13" s="789" t="s">
        <v>4015</v>
      </c>
    </row>
    <row r="14" spans="1:6" ht="6.6" customHeight="1">
      <c r="A14" s="790"/>
    </row>
    <row r="15" spans="1:6" ht="111" customHeight="1">
      <c r="A15" s="789" t="s">
        <v>4016</v>
      </c>
    </row>
    <row r="16" spans="1:6" ht="6.6" customHeight="1">
      <c r="A16" s="790"/>
    </row>
    <row r="17" spans="1:1" ht="111" customHeight="1">
      <c r="A17" s="789"/>
    </row>
    <row r="18" spans="1:1" ht="6.6" customHeight="1">
      <c r="A18" s="790"/>
    </row>
    <row r="19" spans="1:1" ht="111" customHeight="1">
      <c r="A19" s="789"/>
    </row>
    <row r="20" spans="1:1" ht="6.6" customHeight="1">
      <c r="A20" s="790"/>
    </row>
    <row r="21" spans="1:1" ht="111" customHeight="1">
      <c r="A21" s="789"/>
    </row>
    <row r="22" spans="1:1" ht="6.6" customHeight="1">
      <c r="A22" s="790"/>
    </row>
    <row r="23" spans="1:1" ht="111" customHeight="1">
      <c r="A23" s="789"/>
    </row>
    <row r="24" spans="1:1" ht="6.6" customHeight="1">
      <c r="A24" s="790"/>
    </row>
    <row r="25" spans="1:1" ht="111" customHeight="1">
      <c r="A25" s="789"/>
    </row>
    <row r="26" spans="1:1" ht="6.6" customHeight="1">
      <c r="A26" s="790"/>
    </row>
    <row r="27" spans="1:1" ht="111" customHeight="1">
      <c r="A27" s="789"/>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workbookViewId="0">
      <selection activeCell="F22" sqref="F22:L22"/>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1027" t="str">
        <f>CONCATENATE("PART ONE - PROJECT INFORMATION"," - ",$O$4," ",$F$22,", ",'Part I-Project Information'!F24,", ",'Part I-Project Information'!J25," County")</f>
        <v>PART ONE - PROJECT INFORMATION - 2011-053 Hampton Court , Hampton, Henry County</v>
      </c>
      <c r="B1" s="1028"/>
      <c r="C1" s="1028"/>
      <c r="D1" s="1028"/>
      <c r="E1" s="1028"/>
      <c r="F1" s="1028"/>
      <c r="G1" s="1028"/>
      <c r="H1" s="1028"/>
      <c r="I1" s="1028"/>
      <c r="J1" s="1028"/>
      <c r="K1" s="1028"/>
      <c r="L1" s="1028"/>
      <c r="M1" s="1028"/>
      <c r="N1" s="1028"/>
      <c r="O1" s="1028"/>
      <c r="P1" s="1029"/>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653</v>
      </c>
      <c r="L3" s="459"/>
      <c r="M3" s="1041" t="s">
        <v>2729</v>
      </c>
      <c r="N3" s="1041"/>
      <c r="O3" s="1041"/>
      <c r="P3" s="1041"/>
    </row>
    <row r="4" spans="1:16" s="458" customFormat="1" ht="12" customHeight="1" thickBot="1">
      <c r="A4" s="735"/>
      <c r="B4" s="461"/>
      <c r="C4" s="461"/>
      <c r="D4" s="462"/>
      <c r="E4" s="401" t="s">
        <v>654</v>
      </c>
      <c r="H4" s="719"/>
      <c r="I4" s="719"/>
      <c r="J4" s="719"/>
      <c r="M4" s="719"/>
      <c r="O4" s="1031" t="s">
        <v>4031</v>
      </c>
      <c r="P4" s="1032"/>
    </row>
    <row r="5" spans="1:16" s="458" customFormat="1" ht="12" customHeight="1">
      <c r="A5" s="735"/>
      <c r="B5" s="461"/>
      <c r="C5" s="461"/>
      <c r="D5" s="461"/>
      <c r="E5" s="719"/>
      <c r="H5" s="719"/>
      <c r="I5" s="719"/>
      <c r="J5" s="719"/>
      <c r="K5" s="395"/>
      <c r="M5" s="719"/>
    </row>
    <row r="6" spans="1:16" s="458" customFormat="1" ht="13.2" customHeight="1">
      <c r="A6" s="461" t="s">
        <v>950</v>
      </c>
      <c r="C6" s="461" t="s">
        <v>3590</v>
      </c>
      <c r="D6" s="418"/>
      <c r="E6" s="463"/>
      <c r="F6" s="464" t="s">
        <v>2740</v>
      </c>
      <c r="J6" s="998">
        <f>'Part IV-Uses of Funds'!J165</f>
        <v>950000</v>
      </c>
      <c r="K6" s="999"/>
    </row>
    <row r="7" spans="1:16" s="2" customFormat="1" ht="13.2" customHeight="1">
      <c r="A7" s="5"/>
      <c r="C7" s="5"/>
      <c r="D7" s="31"/>
      <c r="E7" s="563"/>
      <c r="F7" s="458" t="s">
        <v>1982</v>
      </c>
      <c r="J7" s="966">
        <f>'Part III A-Sources of Funds'!J5</f>
        <v>0</v>
      </c>
      <c r="K7" s="967"/>
      <c r="M7" s="458"/>
      <c r="N7" s="458"/>
      <c r="O7" s="458"/>
      <c r="P7" s="458"/>
    </row>
    <row r="8" spans="1:16" s="458" customFormat="1" ht="7.2" customHeight="1">
      <c r="A8" s="461"/>
      <c r="C8" s="461"/>
      <c r="D8" s="418"/>
      <c r="E8" s="463"/>
      <c r="F8" s="463"/>
      <c r="I8" s="465"/>
      <c r="N8" s="466"/>
    </row>
    <row r="9" spans="1:16" s="458" customFormat="1" ht="13.2" customHeight="1">
      <c r="A9" s="465" t="s">
        <v>1229</v>
      </c>
      <c r="C9" s="461" t="s">
        <v>3132</v>
      </c>
      <c r="F9" s="1038" t="s">
        <v>3959</v>
      </c>
      <c r="G9" s="1039"/>
      <c r="H9" s="1040"/>
      <c r="I9" s="891" t="s">
        <v>1230</v>
      </c>
      <c r="J9" s="951"/>
      <c r="K9" s="968"/>
      <c r="L9" s="968"/>
      <c r="M9" s="968"/>
      <c r="N9" s="968"/>
      <c r="O9" s="968"/>
      <c r="P9" s="952"/>
    </row>
    <row r="10" spans="1:16" s="458" customFormat="1" ht="7.2" customHeight="1">
      <c r="I10" s="418"/>
      <c r="J10" s="418"/>
      <c r="K10" s="418"/>
      <c r="L10" s="418"/>
      <c r="M10" s="418"/>
      <c r="N10" s="418"/>
      <c r="O10" s="418"/>
      <c r="P10" s="418"/>
    </row>
    <row r="11" spans="1:16" s="458" customFormat="1" ht="13.2"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3442</v>
      </c>
      <c r="F13" s="951" t="s">
        <v>3929</v>
      </c>
      <c r="G13" s="968"/>
      <c r="H13" s="968"/>
      <c r="I13" s="968"/>
      <c r="J13" s="968"/>
      <c r="K13" s="968"/>
      <c r="L13" s="952"/>
      <c r="M13" s="714" t="s">
        <v>3057</v>
      </c>
      <c r="N13" s="951" t="s">
        <v>3926</v>
      </c>
      <c r="O13" s="968"/>
      <c r="P13" s="952"/>
    </row>
    <row r="14" spans="1:16" s="458" customFormat="1" ht="13.2" customHeight="1">
      <c r="C14" s="464" t="s">
        <v>3058</v>
      </c>
      <c r="F14" s="951" t="s">
        <v>3960</v>
      </c>
      <c r="G14" s="968"/>
      <c r="H14" s="968"/>
      <c r="I14" s="968"/>
      <c r="J14" s="968"/>
      <c r="K14" s="968"/>
      <c r="L14" s="952"/>
      <c r="M14" s="714" t="s">
        <v>2746</v>
      </c>
      <c r="O14" s="1042"/>
      <c r="P14" s="1043"/>
    </row>
    <row r="15" spans="1:16" s="458" customFormat="1" ht="13.2" customHeight="1">
      <c r="C15" s="464" t="s">
        <v>953</v>
      </c>
      <c r="F15" s="1035" t="s">
        <v>3922</v>
      </c>
      <c r="G15" s="1036"/>
      <c r="H15" s="1037"/>
      <c r="M15" s="714" t="s">
        <v>2833</v>
      </c>
      <c r="O15" s="953">
        <v>4788250999</v>
      </c>
      <c r="P15" s="955"/>
    </row>
    <row r="16" spans="1:16" s="458" customFormat="1" ht="13.2" customHeight="1">
      <c r="C16" s="464" t="s">
        <v>2830</v>
      </c>
      <c r="F16" s="892" t="s">
        <v>1438</v>
      </c>
      <c r="I16" s="719" t="s">
        <v>3354</v>
      </c>
      <c r="J16" s="996">
        <v>310303731</v>
      </c>
      <c r="K16" s="997"/>
      <c r="M16" s="714" t="s">
        <v>3056</v>
      </c>
      <c r="O16" s="953">
        <v>7706174375</v>
      </c>
      <c r="P16" s="955"/>
    </row>
    <row r="17" spans="1:16" s="458" customFormat="1" ht="13.2" customHeight="1">
      <c r="B17" s="721"/>
      <c r="C17" s="464" t="s">
        <v>2745</v>
      </c>
      <c r="F17" s="953">
        <v>4788257754</v>
      </c>
      <c r="G17" s="954"/>
      <c r="H17" s="955"/>
      <c r="I17" s="713" t="s">
        <v>2744</v>
      </c>
      <c r="J17" s="876"/>
      <c r="K17" s="719" t="s">
        <v>3061</v>
      </c>
      <c r="L17" s="951" t="s">
        <v>3924</v>
      </c>
      <c r="M17" s="968"/>
      <c r="N17" s="968"/>
      <c r="O17" s="968"/>
      <c r="P17" s="952"/>
    </row>
    <row r="18" spans="1:16" s="458" customFormat="1" ht="13.2" customHeight="1">
      <c r="A18" s="461"/>
      <c r="B18" s="463"/>
      <c r="C18" s="441" t="s">
        <v>997</v>
      </c>
      <c r="D18" s="463"/>
      <c r="G18" s="463"/>
      <c r="H18" s="463"/>
      <c r="I18" s="467"/>
    </row>
    <row r="19" spans="1:16" s="458" customFormat="1" ht="7.2" customHeight="1">
      <c r="A19" s="735"/>
      <c r="B19" s="735"/>
      <c r="C19" s="468"/>
      <c r="D19" s="721"/>
      <c r="E19" s="721"/>
      <c r="F19" s="721"/>
      <c r="H19" s="719"/>
      <c r="I19" s="721"/>
      <c r="J19" s="468"/>
      <c r="K19" s="721"/>
      <c r="P19" s="469"/>
    </row>
    <row r="20" spans="1:16" s="458" customFormat="1" ht="13.2"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951</v>
      </c>
      <c r="D22" s="470"/>
      <c r="F22" s="1023" t="s">
        <v>3961</v>
      </c>
      <c r="G22" s="1024"/>
      <c r="H22" s="1024"/>
      <c r="I22" s="1024"/>
      <c r="J22" s="1024"/>
      <c r="K22" s="1024"/>
      <c r="L22" s="1025"/>
      <c r="M22" s="714" t="s">
        <v>3300</v>
      </c>
      <c r="O22" s="951" t="s">
        <v>3964</v>
      </c>
      <c r="P22" s="952"/>
    </row>
    <row r="23" spans="1:16" s="458" customFormat="1" ht="13.2" customHeight="1">
      <c r="A23" s="471"/>
      <c r="B23" s="461"/>
      <c r="C23" s="458" t="s">
        <v>952</v>
      </c>
      <c r="D23" s="472"/>
      <c r="F23" s="951" t="s">
        <v>3962</v>
      </c>
      <c r="G23" s="968"/>
      <c r="H23" s="968"/>
      <c r="I23" s="968"/>
      <c r="J23" s="968"/>
      <c r="K23" s="968"/>
      <c r="L23" s="952"/>
      <c r="M23" s="714" t="s">
        <v>3146</v>
      </c>
      <c r="O23" s="951" t="s">
        <v>3965</v>
      </c>
      <c r="P23" s="952"/>
    </row>
    <row r="24" spans="1:16" s="458" customFormat="1" ht="13.2" customHeight="1">
      <c r="A24" s="735"/>
      <c r="B24" s="461"/>
      <c r="C24" s="458" t="s">
        <v>953</v>
      </c>
      <c r="F24" s="951" t="s">
        <v>1625</v>
      </c>
      <c r="G24" s="968"/>
      <c r="H24" s="952"/>
      <c r="I24" s="719" t="s">
        <v>445</v>
      </c>
      <c r="J24" s="996">
        <v>302280400</v>
      </c>
      <c r="K24" s="997"/>
      <c r="L24" s="550" t="str">
        <f>IF(AND(NOT(F22=""),NOT(F24="Select from list"),J24=""),"Enter Zip!","")</f>
        <v/>
      </c>
      <c r="M24" s="714" t="s">
        <v>3416</v>
      </c>
      <c r="O24" s="951">
        <v>15</v>
      </c>
      <c r="P24" s="952"/>
    </row>
    <row r="25" spans="1:16" s="458" customFormat="1" ht="13.2" customHeight="1">
      <c r="A25" s="735"/>
      <c r="B25" s="461"/>
      <c r="C25" s="965" t="s">
        <v>3145</v>
      </c>
      <c r="D25" s="965"/>
      <c r="F25" s="893" t="s">
        <v>3963</v>
      </c>
      <c r="I25" s="504" t="s">
        <v>954</v>
      </c>
      <c r="J25" s="1033" t="str">
        <f>IF($F$24="","",VLOOKUP($F$24,$N$183:$O$786,2,FALSE))</f>
        <v>Henry</v>
      </c>
      <c r="K25" s="1034"/>
      <c r="M25" s="474" t="s">
        <v>3435</v>
      </c>
      <c r="O25" s="951">
        <v>705</v>
      </c>
      <c r="P25" s="971"/>
    </row>
    <row r="26" spans="1:16" s="458" customFormat="1" ht="13.2" customHeight="1">
      <c r="A26" s="735"/>
      <c r="B26" s="461"/>
      <c r="C26" s="458" t="s">
        <v>2313</v>
      </c>
      <c r="F26" s="894" t="s">
        <v>3963</v>
      </c>
      <c r="G26" s="475"/>
      <c r="I26" s="466" t="s">
        <v>885</v>
      </c>
      <c r="J26" s="975" t="str">
        <f>IF($F$24="","",VLOOKUP($J$25,$C$183:$H$342,3,FALSE))</f>
        <v>Atlanta-Sandy Springs-Marietta</v>
      </c>
      <c r="K26" s="976"/>
      <c r="L26" s="977"/>
      <c r="M26" s="714" t="s">
        <v>665</v>
      </c>
      <c r="N26" s="895" t="s">
        <v>3965</v>
      </c>
      <c r="O26" s="466" t="s">
        <v>666</v>
      </c>
      <c r="P26" s="895" t="s">
        <v>3965</v>
      </c>
    </row>
    <row r="27" spans="1:16" s="458" customFormat="1" ht="3" customHeight="1">
      <c r="A27" s="735"/>
      <c r="B27" s="461"/>
      <c r="C27" s="461"/>
      <c r="I27" s="464"/>
      <c r="J27" s="721"/>
      <c r="L27" s="733"/>
      <c r="M27" s="733"/>
      <c r="N27" s="733"/>
      <c r="O27" s="733"/>
      <c r="P27" s="733"/>
    </row>
    <row r="28" spans="1:16" s="458" customFormat="1" ht="13.2" customHeight="1">
      <c r="A28" s="735"/>
      <c r="B28" s="461"/>
      <c r="F28" s="1030" t="s">
        <v>446</v>
      </c>
      <c r="G28" s="1030"/>
      <c r="H28" s="1030" t="s">
        <v>1225</v>
      </c>
      <c r="I28" s="1030"/>
      <c r="J28" s="1030" t="s">
        <v>1226</v>
      </c>
      <c r="K28" s="1030"/>
      <c r="L28" s="468"/>
    </row>
    <row r="29" spans="1:16" s="458" customFormat="1" ht="13.2" customHeight="1">
      <c r="A29" s="735"/>
      <c r="B29" s="461"/>
      <c r="C29" s="458" t="s">
        <v>955</v>
      </c>
      <c r="D29" s="461"/>
      <c r="F29" s="978">
        <v>3</v>
      </c>
      <c r="G29" s="979"/>
      <c r="H29" s="978">
        <v>17</v>
      </c>
      <c r="I29" s="979"/>
      <c r="J29" s="978">
        <v>73</v>
      </c>
      <c r="K29" s="979"/>
    </row>
    <row r="30" spans="1:16" s="458" customFormat="1" ht="13.2" customHeight="1">
      <c r="A30" s="735"/>
      <c r="B30" s="461"/>
      <c r="C30" s="464" t="s">
        <v>1227</v>
      </c>
      <c r="F30" s="978"/>
      <c r="G30" s="979"/>
      <c r="H30" s="978"/>
      <c r="I30" s="979"/>
      <c r="J30" s="978"/>
      <c r="K30" s="979"/>
    </row>
    <row r="31" spans="1:16" s="458" customFormat="1" ht="3" customHeight="1">
      <c r="A31" s="735"/>
      <c r="B31" s="461"/>
      <c r="I31" s="733"/>
      <c r="J31" s="733"/>
      <c r="K31" s="733"/>
      <c r="M31" s="721"/>
      <c r="N31" s="721"/>
      <c r="O31" s="721"/>
      <c r="P31" s="721"/>
    </row>
    <row r="32" spans="1:16" s="458" customFormat="1" ht="13.2" customHeight="1">
      <c r="A32" s="735"/>
      <c r="B32" s="735"/>
      <c r="C32" s="461" t="s">
        <v>973</v>
      </c>
      <c r="F32" s="972" t="s">
        <v>1625</v>
      </c>
      <c r="G32" s="973"/>
      <c r="H32" s="973"/>
      <c r="I32" s="973"/>
      <c r="J32" s="973"/>
      <c r="K32" s="974"/>
      <c r="L32" s="476"/>
      <c r="M32" s="476"/>
      <c r="N32" s="476"/>
    </row>
    <row r="33" spans="1:19" s="458" customFormat="1" ht="13.2" customHeight="1">
      <c r="A33" s="735"/>
      <c r="B33" s="735"/>
      <c r="C33" s="458" t="s">
        <v>974</v>
      </c>
      <c r="F33" s="982" t="s">
        <v>3968</v>
      </c>
      <c r="G33" s="983"/>
      <c r="H33" s="983"/>
      <c r="I33" s="983"/>
      <c r="J33" s="984"/>
      <c r="K33" s="477" t="s">
        <v>3057</v>
      </c>
      <c r="L33" s="972" t="s">
        <v>3967</v>
      </c>
      <c r="M33" s="973"/>
      <c r="N33" s="974"/>
    </row>
    <row r="34" spans="1:19" s="458" customFormat="1" ht="13.2" customHeight="1">
      <c r="A34" s="735"/>
      <c r="B34" s="735"/>
      <c r="C34" s="458" t="s">
        <v>3058</v>
      </c>
      <c r="F34" s="972" t="s">
        <v>3966</v>
      </c>
      <c r="G34" s="973"/>
      <c r="H34" s="973"/>
      <c r="I34" s="973"/>
      <c r="J34" s="974"/>
      <c r="K34" s="478" t="s">
        <v>953</v>
      </c>
      <c r="L34" s="951" t="s">
        <v>1625</v>
      </c>
      <c r="M34" s="968"/>
      <c r="N34" s="952"/>
    </row>
    <row r="35" spans="1:19" s="458" customFormat="1" ht="13.2" customHeight="1">
      <c r="A35" s="735"/>
      <c r="B35" s="735"/>
      <c r="C35" s="714" t="s">
        <v>3354</v>
      </c>
      <c r="F35" s="985">
        <v>302280400</v>
      </c>
      <c r="G35" s="986"/>
      <c r="H35" s="713" t="s">
        <v>3059</v>
      </c>
      <c r="I35" s="980">
        <v>7709464306</v>
      </c>
      <c r="J35" s="1049"/>
      <c r="K35" s="981"/>
      <c r="L35" s="713" t="s">
        <v>2833</v>
      </c>
      <c r="M35" s="980">
        <v>7709464356</v>
      </c>
      <c r="N35" s="981"/>
    </row>
    <row r="36" spans="1:19" s="458" customFormat="1" ht="7.2" customHeight="1">
      <c r="A36" s="735"/>
      <c r="B36" s="735"/>
      <c r="C36" s="479"/>
      <c r="D36" s="480"/>
      <c r="E36" s="480"/>
      <c r="F36" s="719"/>
      <c r="G36" s="719"/>
      <c r="H36" s="719"/>
      <c r="I36" s="719"/>
      <c r="J36" s="480"/>
      <c r="K36" s="719"/>
      <c r="L36" s="719"/>
      <c r="N36" s="721"/>
      <c r="O36" s="721"/>
      <c r="P36" s="469"/>
    </row>
    <row r="37" spans="1:19" s="458" customFormat="1" ht="13.2"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3.8">
      <c r="A39" s="735"/>
      <c r="B39" s="735" t="s">
        <v>3060</v>
      </c>
      <c r="C39" s="461" t="s">
        <v>3437</v>
      </c>
      <c r="F39" s="876" t="s">
        <v>3965</v>
      </c>
      <c r="J39" s="605" t="s">
        <v>1971</v>
      </c>
      <c r="K39" s="721"/>
      <c r="L39" s="964" t="s">
        <v>1972</v>
      </c>
      <c r="M39" s="964"/>
      <c r="N39" s="964"/>
      <c r="O39" s="964"/>
      <c r="P39" s="606"/>
    </row>
    <row r="40" spans="1:19" s="458" customFormat="1" ht="3" customHeight="1">
      <c r="A40" s="735"/>
      <c r="J40" s="605"/>
      <c r="K40" s="733"/>
      <c r="L40" s="721"/>
      <c r="M40" s="733"/>
      <c r="N40" s="733"/>
      <c r="O40" s="733"/>
      <c r="P40" s="607"/>
    </row>
    <row r="41" spans="1:19" s="458" customFormat="1" ht="13.2" customHeight="1">
      <c r="A41" s="735"/>
      <c r="B41" s="735" t="s">
        <v>3063</v>
      </c>
      <c r="C41" s="461" t="s">
        <v>1083</v>
      </c>
      <c r="J41" s="608" t="s">
        <v>1975</v>
      </c>
      <c r="K41" s="609"/>
      <c r="L41" s="969" t="s">
        <v>1970</v>
      </c>
      <c r="M41" s="969"/>
      <c r="N41" s="969"/>
      <c r="O41" s="969"/>
      <c r="P41" s="970"/>
      <c r="Q41" s="719"/>
    </row>
    <row r="42" spans="1:19" ht="13.2" customHeight="1">
      <c r="B42" s="735"/>
      <c r="C42" s="458" t="s">
        <v>3436</v>
      </c>
      <c r="D42" s="458"/>
      <c r="E42" s="458"/>
      <c r="F42" s="483">
        <f>'Part VI-Revenues &amp; Expenses'!$M$75</f>
        <v>60</v>
      </c>
      <c r="J42" s="398"/>
      <c r="L42" s="458"/>
      <c r="Q42" s="719"/>
    </row>
    <row r="43" spans="1:19" s="458" customFormat="1" ht="13.2" customHeight="1">
      <c r="A43" s="735"/>
      <c r="B43" s="735"/>
      <c r="C43" s="464" t="s">
        <v>468</v>
      </c>
      <c r="D43" s="721"/>
      <c r="F43" s="483">
        <f>'Part VI-Revenues &amp; Expenses'!$M$82</f>
        <v>0</v>
      </c>
      <c r="Q43" s="719"/>
    </row>
    <row r="44" spans="1:19" s="458" customFormat="1" ht="13.2" customHeight="1">
      <c r="A44" s="735"/>
      <c r="B44" s="735"/>
      <c r="C44" s="464" t="s">
        <v>442</v>
      </c>
      <c r="D44" s="721"/>
      <c r="F44" s="483">
        <f>'Part VI-Revenues &amp; Expenses'!$M$78</f>
        <v>0</v>
      </c>
      <c r="G44" s="458" t="s">
        <v>444</v>
      </c>
      <c r="L44" s="896"/>
      <c r="M44" s="482"/>
      <c r="N44" s="482"/>
      <c r="O44" s="482"/>
      <c r="P44" s="482"/>
      <c r="Q44" s="719"/>
    </row>
    <row r="45" spans="1:19" s="458" customFormat="1" ht="13.2" customHeight="1">
      <c r="A45" s="735"/>
      <c r="B45" s="735"/>
      <c r="C45" s="484" t="s">
        <v>443</v>
      </c>
      <c r="F45" s="483">
        <f>'Part VI-Revenues &amp; Expenses'!$M$81</f>
        <v>0</v>
      </c>
      <c r="L45" s="482"/>
    </row>
    <row r="46" spans="1:19" s="458" customFormat="1" ht="13.2" customHeight="1">
      <c r="A46" s="735"/>
      <c r="B46" s="735"/>
      <c r="C46" s="484" t="s">
        <v>469</v>
      </c>
      <c r="F46" s="483">
        <f>'Part VI-Revenues &amp; Expenses'!$M$83</f>
        <v>0</v>
      </c>
      <c r="P46" s="721"/>
    </row>
    <row r="47" spans="1:19" s="458" customFormat="1" ht="3.6" customHeight="1">
      <c r="A47" s="735"/>
      <c r="P47" s="721"/>
    </row>
    <row r="48" spans="1:19" s="458" customFormat="1" ht="13.2" customHeight="1">
      <c r="A48" s="735"/>
      <c r="B48" s="471" t="s">
        <v>1238</v>
      </c>
      <c r="C48" s="470" t="s">
        <v>3408</v>
      </c>
      <c r="D48" s="721"/>
      <c r="I48" s="1050" t="s">
        <v>2130</v>
      </c>
      <c r="J48" s="471" t="s">
        <v>3212</v>
      </c>
      <c r="K48" s="485" t="s">
        <v>3443</v>
      </c>
      <c r="M48" s="721"/>
      <c r="N48" s="721"/>
      <c r="O48" s="721"/>
      <c r="P48" s="719"/>
      <c r="Q48" s="719"/>
      <c r="R48" s="719"/>
      <c r="S48" s="721"/>
    </row>
    <row r="49" spans="1:16" s="458" customFormat="1" ht="13.2" customHeight="1">
      <c r="A49" s="735"/>
      <c r="B49" s="716"/>
      <c r="C49" s="468" t="s">
        <v>3409</v>
      </c>
      <c r="D49" s="721"/>
      <c r="E49" s="721"/>
      <c r="H49" s="486">
        <f>SUM(H50:H51)</f>
        <v>60</v>
      </c>
      <c r="I49" s="1051"/>
      <c r="J49" s="735"/>
      <c r="K49" s="468" t="s">
        <v>3444</v>
      </c>
      <c r="M49" s="721"/>
      <c r="N49" s="721"/>
      <c r="O49" s="721"/>
      <c r="P49" s="486">
        <f>'Part VI-Revenues &amp; Expenses'!$M$94</f>
        <v>72000</v>
      </c>
    </row>
    <row r="50" spans="1:16" s="458" customFormat="1" ht="13.2" customHeight="1">
      <c r="A50" s="735"/>
      <c r="B50" s="482"/>
      <c r="D50" s="487" t="s">
        <v>489</v>
      </c>
      <c r="E50" s="487"/>
      <c r="H50" s="486">
        <f>'Part VI-Revenues &amp; Expenses'!$M$58</f>
        <v>9</v>
      </c>
      <c r="I50" s="486">
        <f>'Part VI-Revenues &amp; Expenses'!$M$66</f>
        <v>0</v>
      </c>
      <c r="K50" s="468" t="s">
        <v>326</v>
      </c>
      <c r="M50" s="721"/>
      <c r="N50" s="721"/>
      <c r="O50" s="721"/>
      <c r="P50" s="486">
        <f>'Part VI-Revenues &amp; Expenses'!$M$95</f>
        <v>0</v>
      </c>
    </row>
    <row r="51" spans="1:16" s="458" customFormat="1" ht="13.2" customHeight="1">
      <c r="A51" s="735"/>
      <c r="D51" s="487" t="s">
        <v>2863</v>
      </c>
      <c r="E51" s="487"/>
      <c r="H51" s="486">
        <f>'Part VI-Revenues &amp; Expenses'!$M$57</f>
        <v>51</v>
      </c>
      <c r="I51" s="486">
        <f>'Part VI-Revenues &amp; Expenses'!$M$65</f>
        <v>0</v>
      </c>
      <c r="K51" s="468" t="s">
        <v>3445</v>
      </c>
      <c r="M51" s="721"/>
      <c r="N51" s="721"/>
      <c r="O51" s="721"/>
      <c r="P51" s="486">
        <f>+P49+P50</f>
        <v>72000</v>
      </c>
    </row>
    <row r="52" spans="1:16" s="458" customFormat="1" ht="13.2" customHeight="1">
      <c r="A52" s="735"/>
      <c r="C52" s="468" t="s">
        <v>327</v>
      </c>
      <c r="D52" s="721"/>
      <c r="E52" s="721"/>
      <c r="H52" s="486">
        <f>'Part VI-Revenues &amp; Expenses'!$M$60</f>
        <v>0</v>
      </c>
      <c r="J52" s="735"/>
      <c r="K52" s="468" t="s">
        <v>2133</v>
      </c>
      <c r="M52" s="721"/>
      <c r="N52" s="721"/>
      <c r="O52" s="721"/>
      <c r="P52" s="486">
        <f>'Part VI-Revenues &amp; Expenses'!$M$97</f>
        <v>0</v>
      </c>
    </row>
    <row r="53" spans="1:16" s="458" customFormat="1" ht="13.2" customHeight="1">
      <c r="A53" s="735"/>
      <c r="C53" s="468" t="s">
        <v>3650</v>
      </c>
      <c r="D53" s="721"/>
      <c r="E53" s="721"/>
      <c r="H53" s="486">
        <f>+H49+H52</f>
        <v>60</v>
      </c>
      <c r="J53" s="735"/>
      <c r="K53" s="468" t="s">
        <v>2132</v>
      </c>
      <c r="M53" s="721"/>
      <c r="N53" s="721"/>
      <c r="O53" s="721"/>
      <c r="P53" s="486">
        <f>+P51+P52</f>
        <v>72000</v>
      </c>
    </row>
    <row r="54" spans="1:16" s="458" customFormat="1" ht="13.2" customHeight="1">
      <c r="A54" s="735"/>
      <c r="C54" s="468" t="s">
        <v>3651</v>
      </c>
      <c r="D54" s="721"/>
      <c r="E54" s="721"/>
      <c r="H54" s="486">
        <f>'Part VI-Revenues &amp; Expenses'!$M$62</f>
        <v>0</v>
      </c>
      <c r="J54" s="735"/>
    </row>
    <row r="55" spans="1:16" s="458" customFormat="1" ht="13.2" customHeight="1">
      <c r="A55" s="735"/>
      <c r="C55" s="468" t="s">
        <v>2824</v>
      </c>
      <c r="D55" s="721"/>
      <c r="E55" s="721"/>
      <c r="H55" s="486">
        <f>+H53+H54</f>
        <v>60</v>
      </c>
      <c r="J55" s="721"/>
    </row>
    <row r="56" spans="1:16" s="458" customFormat="1" ht="3" customHeight="1">
      <c r="A56" s="735"/>
      <c r="I56" s="719"/>
      <c r="L56" s="719"/>
      <c r="M56" s="719"/>
      <c r="N56" s="721"/>
      <c r="P56" s="469"/>
    </row>
    <row r="57" spans="1:16" s="458" customFormat="1" ht="13.2" customHeight="1">
      <c r="A57" s="735"/>
      <c r="B57" s="735" t="s">
        <v>2762</v>
      </c>
      <c r="C57" s="470" t="s">
        <v>3438</v>
      </c>
      <c r="D57" s="487" t="s">
        <v>3074</v>
      </c>
      <c r="G57" s="721"/>
      <c r="H57" s="897">
        <v>9</v>
      </c>
      <c r="K57" s="468" t="s">
        <v>1759</v>
      </c>
      <c r="O57" s="721"/>
      <c r="P57" s="897">
        <v>3000</v>
      </c>
    </row>
    <row r="58" spans="1:16" s="458" customFormat="1" ht="13.2" customHeight="1">
      <c r="A58" s="735"/>
      <c r="B58" s="735"/>
      <c r="D58" s="716" t="s">
        <v>3075</v>
      </c>
      <c r="H58" s="897">
        <v>1</v>
      </c>
      <c r="I58" s="721"/>
      <c r="K58" s="468" t="s">
        <v>325</v>
      </c>
      <c r="O58" s="721"/>
      <c r="P58" s="486">
        <f>+P53+P57</f>
        <v>75000</v>
      </c>
    </row>
    <row r="59" spans="1:16" s="458" customFormat="1" ht="13.2" customHeight="1">
      <c r="A59" s="735"/>
      <c r="B59" s="735"/>
      <c r="D59" s="716" t="s">
        <v>3076</v>
      </c>
      <c r="H59" s="486">
        <f>+H57+H58</f>
        <v>10</v>
      </c>
      <c r="I59" s="721"/>
    </row>
    <row r="60" spans="1:16" s="458" customFormat="1" ht="3" customHeight="1">
      <c r="A60" s="735"/>
      <c r="B60" s="735"/>
      <c r="C60" s="721"/>
      <c r="D60" s="721"/>
      <c r="E60" s="721"/>
      <c r="F60" s="721"/>
      <c r="G60" s="719"/>
      <c r="I60" s="468"/>
      <c r="J60" s="721"/>
      <c r="P60" s="469"/>
    </row>
    <row r="61" spans="1:16" s="458" customFormat="1" ht="13.2" customHeight="1">
      <c r="A61" s="735"/>
      <c r="B61" s="735" t="s">
        <v>2763</v>
      </c>
      <c r="C61" s="470" t="s">
        <v>1084</v>
      </c>
      <c r="D61" s="721"/>
      <c r="E61" s="721"/>
      <c r="F61" s="721"/>
      <c r="G61" s="721"/>
      <c r="H61" s="897">
        <v>100</v>
      </c>
    </row>
    <row r="62" spans="1:16" s="458" customFormat="1" ht="9" customHeight="1">
      <c r="A62" s="735"/>
      <c r="B62" s="735"/>
      <c r="C62" s="468"/>
      <c r="D62" s="721"/>
      <c r="E62" s="721"/>
      <c r="F62" s="721"/>
      <c r="G62" s="719"/>
      <c r="H62" s="721"/>
      <c r="I62" s="468"/>
      <c r="J62" s="468"/>
      <c r="K62" s="721"/>
      <c r="P62" s="469"/>
    </row>
    <row r="63" spans="1:16" s="458" customFormat="1" ht="13.2" customHeight="1">
      <c r="A63" s="735" t="s">
        <v>822</v>
      </c>
      <c r="C63" s="488" t="s">
        <v>1836</v>
      </c>
      <c r="D63" s="488"/>
      <c r="E63" s="488"/>
      <c r="F63" s="721"/>
      <c r="G63" s="719"/>
      <c r="K63" s="721"/>
      <c r="P63" s="469"/>
    </row>
    <row r="64" spans="1:16" s="458" customFormat="1" ht="3" customHeight="1">
      <c r="A64" s="735"/>
      <c r="C64" s="715"/>
      <c r="D64" s="715"/>
      <c r="E64" s="715"/>
      <c r="F64" s="721"/>
      <c r="G64" s="719"/>
      <c r="K64" s="721"/>
      <c r="P64" s="469"/>
    </row>
    <row r="65" spans="1:16" s="458" customFormat="1" ht="13.2" customHeight="1">
      <c r="A65" s="735"/>
      <c r="B65" s="735" t="s">
        <v>3060</v>
      </c>
      <c r="C65" s="395" t="s">
        <v>2272</v>
      </c>
      <c r="D65" s="715"/>
      <c r="E65" s="715"/>
      <c r="F65" s="721"/>
      <c r="G65" s="719"/>
      <c r="H65" s="987" t="s">
        <v>3969</v>
      </c>
      <c r="I65" s="989"/>
      <c r="K65" s="965" t="s">
        <v>2801</v>
      </c>
      <c r="L65" s="965"/>
      <c r="N65" s="951"/>
      <c r="O65" s="968"/>
      <c r="P65" s="952"/>
    </row>
    <row r="66" spans="1:16" s="458" customFormat="1" ht="3" customHeight="1">
      <c r="A66" s="735"/>
      <c r="B66" s="735"/>
      <c r="D66" s="716"/>
      <c r="E66" s="716"/>
      <c r="F66" s="716"/>
      <c r="G66" s="716"/>
      <c r="I66" s="719"/>
      <c r="K66" s="714"/>
      <c r="L66" s="714"/>
      <c r="M66" s="719"/>
      <c r="N66" s="721"/>
      <c r="P66" s="469"/>
    </row>
    <row r="67" spans="1:16" s="458" customFormat="1" ht="13.2" customHeight="1">
      <c r="A67" s="735"/>
      <c r="B67" s="735" t="s">
        <v>3063</v>
      </c>
      <c r="C67" s="470" t="s">
        <v>2121</v>
      </c>
      <c r="D67" s="721"/>
      <c r="E67" s="487"/>
      <c r="G67" s="489" t="s">
        <v>1378</v>
      </c>
      <c r="H67" s="897">
        <v>3</v>
      </c>
      <c r="K67" s="965" t="s">
        <v>812</v>
      </c>
      <c r="L67" s="965"/>
      <c r="P67" s="490">
        <f>IF('Part VI-Revenues &amp; Expenses'!$M$63=0,0,$H67/'Part VI-Revenues &amp; Expenses'!$M$63)</f>
        <v>0.05</v>
      </c>
    </row>
    <row r="68" spans="1:16" s="458" customFormat="1" ht="3" customHeight="1">
      <c r="A68" s="735"/>
      <c r="B68" s="735"/>
      <c r="D68" s="716"/>
      <c r="E68" s="716"/>
      <c r="F68" s="716"/>
      <c r="G68" s="716"/>
      <c r="I68" s="719"/>
      <c r="K68" s="714"/>
      <c r="L68" s="714"/>
      <c r="M68" s="719"/>
      <c r="P68" s="719"/>
    </row>
    <row r="69" spans="1:16" s="458" customFormat="1" ht="13.2" customHeight="1">
      <c r="A69" s="735"/>
      <c r="B69" s="735" t="s">
        <v>1238</v>
      </c>
      <c r="C69" s="470" t="s">
        <v>2891</v>
      </c>
      <c r="D69" s="487"/>
      <c r="E69" s="487"/>
      <c r="G69" s="489" t="s">
        <v>1378</v>
      </c>
      <c r="H69" s="897">
        <v>2</v>
      </c>
      <c r="K69" s="965" t="s">
        <v>812</v>
      </c>
      <c r="L69" s="965"/>
      <c r="P69" s="490">
        <f>IF('Part VI-Revenues &amp; Expenses'!$M$63=0,0,$H69/'Part VI-Revenues &amp; Expenses'!$M$63)</f>
        <v>3.3333333333333333E-2</v>
      </c>
    </row>
    <row r="70" spans="1:16" s="458" customFormat="1" ht="3" customHeight="1">
      <c r="A70" s="735"/>
      <c r="B70" s="735"/>
      <c r="D70" s="716"/>
      <c r="E70" s="716"/>
      <c r="F70" s="716"/>
      <c r="G70" s="716"/>
      <c r="I70" s="719"/>
      <c r="K70" s="714"/>
      <c r="L70" s="714"/>
      <c r="M70" s="719"/>
      <c r="P70" s="719"/>
    </row>
    <row r="71" spans="1:16" s="458" customFormat="1" ht="13.2" customHeight="1">
      <c r="A71" s="735"/>
      <c r="B71" s="735" t="s">
        <v>3212</v>
      </c>
      <c r="C71" s="470" t="s">
        <v>1977</v>
      </c>
      <c r="D71" s="487"/>
      <c r="E71" s="487"/>
      <c r="G71" s="489" t="s">
        <v>1978</v>
      </c>
      <c r="H71" s="897">
        <v>0</v>
      </c>
      <c r="K71" s="965" t="s">
        <v>812</v>
      </c>
      <c r="L71" s="965"/>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2" customHeight="1">
      <c r="A73" s="491" t="s">
        <v>1347</v>
      </c>
      <c r="B73" s="735"/>
      <c r="C73" s="715" t="s">
        <v>3592</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2" customHeight="1">
      <c r="A75" s="735"/>
      <c r="B75" s="735" t="s">
        <v>3060</v>
      </c>
      <c r="C75" s="395" t="s">
        <v>3591</v>
      </c>
      <c r="D75" s="716"/>
      <c r="E75" s="716"/>
      <c r="F75" s="716"/>
      <c r="H75" s="1044" t="s">
        <v>1460</v>
      </c>
      <c r="I75" s="1045"/>
      <c r="J75" s="1046"/>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2" customHeight="1">
      <c r="B77" s="735" t="s">
        <v>3063</v>
      </c>
      <c r="C77" s="461" t="s">
        <v>2285</v>
      </c>
      <c r="K77" s="464" t="s">
        <v>1459</v>
      </c>
      <c r="N77" s="492"/>
      <c r="P77" s="876" t="s">
        <v>3965</v>
      </c>
    </row>
    <row r="78" spans="1:16" s="458" customFormat="1" ht="9" customHeight="1">
      <c r="A78" s="735"/>
      <c r="B78" s="735"/>
      <c r="C78" s="461"/>
      <c r="D78" s="716"/>
      <c r="E78" s="716"/>
      <c r="F78" s="716"/>
      <c r="G78" s="716"/>
      <c r="I78" s="719"/>
      <c r="J78" s="719"/>
      <c r="K78" s="719"/>
      <c r="L78" s="719"/>
      <c r="M78" s="719"/>
      <c r="N78" s="721"/>
      <c r="P78" s="469"/>
    </row>
    <row r="79" spans="1:16" s="458" customFormat="1" ht="13.2" customHeight="1">
      <c r="A79" s="491" t="s">
        <v>385</v>
      </c>
      <c r="B79" s="735"/>
      <c r="C79" s="715" t="s">
        <v>3133</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2" customHeight="1">
      <c r="B81" s="735"/>
      <c r="C81" s="461"/>
      <c r="E81" s="876" t="s">
        <v>3965</v>
      </c>
      <c r="F81" s="487" t="s">
        <v>3914</v>
      </c>
      <c r="H81" s="876" t="s">
        <v>3963</v>
      </c>
      <c r="I81" s="714" t="s">
        <v>3913</v>
      </c>
      <c r="K81" s="876" t="s">
        <v>3965</v>
      </c>
      <c r="L81" s="458" t="s">
        <v>144</v>
      </c>
    </row>
    <row r="82" spans="1:16" s="458" customFormat="1" ht="13.2" customHeight="1">
      <c r="A82" s="735"/>
      <c r="B82" s="735"/>
      <c r="D82" s="480"/>
      <c r="E82" s="876" t="s">
        <v>3965</v>
      </c>
      <c r="F82" s="714" t="s">
        <v>650</v>
      </c>
      <c r="H82" s="876" t="s">
        <v>3965</v>
      </c>
      <c r="I82" s="716" t="s">
        <v>3233</v>
      </c>
      <c r="K82" s="876" t="s">
        <v>3965</v>
      </c>
      <c r="L82" s="458" t="s">
        <v>364</v>
      </c>
    </row>
    <row r="83" spans="1:16" s="458" customFormat="1" ht="9" customHeight="1">
      <c r="A83" s="735"/>
      <c r="B83" s="735"/>
      <c r="D83" s="480"/>
      <c r="E83" s="721"/>
      <c r="I83" s="480"/>
      <c r="J83" s="468"/>
      <c r="K83" s="721"/>
      <c r="P83" s="469"/>
    </row>
    <row r="84" spans="1:16" s="458" customFormat="1" ht="13.2" customHeight="1">
      <c r="A84" s="491" t="s">
        <v>541</v>
      </c>
      <c r="B84" s="735"/>
      <c r="C84" s="485" t="s">
        <v>1834</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2" customHeight="1">
      <c r="A86" s="735"/>
      <c r="B86" s="735"/>
      <c r="C86" s="468" t="s">
        <v>847</v>
      </c>
      <c r="D86" s="721"/>
      <c r="E86" s="951"/>
      <c r="F86" s="968"/>
      <c r="G86" s="968"/>
      <c r="H86" s="968"/>
      <c r="I86" s="968"/>
      <c r="J86" s="968"/>
      <c r="K86" s="968"/>
      <c r="L86" s="952"/>
      <c r="M86" s="1022" t="s">
        <v>848</v>
      </c>
      <c r="N86" s="1022"/>
      <c r="O86" s="959"/>
      <c r="P86" s="960"/>
    </row>
    <row r="87" spans="1:16" s="458" customFormat="1" ht="13.2" customHeight="1">
      <c r="C87" s="464" t="s">
        <v>1641</v>
      </c>
      <c r="D87" s="472"/>
      <c r="E87" s="951"/>
      <c r="F87" s="968"/>
      <c r="G87" s="968"/>
      <c r="H87" s="968"/>
      <c r="I87" s="968"/>
      <c r="J87" s="968"/>
      <c r="K87" s="968"/>
      <c r="L87" s="952"/>
      <c r="M87" s="1022" t="s">
        <v>1390</v>
      </c>
      <c r="N87" s="1022"/>
      <c r="O87" s="1023"/>
      <c r="P87" s="1025"/>
    </row>
    <row r="88" spans="1:16" s="458" customFormat="1" ht="13.2" customHeight="1">
      <c r="C88" s="464" t="s">
        <v>953</v>
      </c>
      <c r="E88" s="951"/>
      <c r="F88" s="1047"/>
      <c r="G88" s="1048"/>
      <c r="H88" s="713" t="s">
        <v>2830</v>
      </c>
      <c r="I88" s="876"/>
      <c r="J88" s="493" t="s">
        <v>3354</v>
      </c>
      <c r="K88" s="996"/>
      <c r="L88" s="1048"/>
      <c r="M88" s="418"/>
      <c r="N88" s="418"/>
      <c r="O88" s="418"/>
      <c r="P88" s="418"/>
    </row>
    <row r="89" spans="1:16" s="458" customFormat="1" ht="13.2" customHeight="1">
      <c r="C89" s="458" t="s">
        <v>3302</v>
      </c>
      <c r="E89" s="951"/>
      <c r="F89" s="1047"/>
      <c r="G89" s="1048"/>
      <c r="H89" s="719" t="s">
        <v>3057</v>
      </c>
      <c r="I89" s="951"/>
      <c r="J89" s="1047"/>
      <c r="K89" s="1048"/>
      <c r="L89" s="732" t="s">
        <v>3061</v>
      </c>
      <c r="M89" s="951"/>
      <c r="N89" s="1047"/>
      <c r="O89" s="1047"/>
      <c r="P89" s="1048"/>
    </row>
    <row r="90" spans="1:16" s="458" customFormat="1" ht="13.2" customHeight="1">
      <c r="C90" s="464" t="s">
        <v>3301</v>
      </c>
      <c r="E90" s="953"/>
      <c r="F90" s="954"/>
      <c r="G90" s="955"/>
      <c r="H90" s="719" t="s">
        <v>2833</v>
      </c>
      <c r="I90" s="980"/>
      <c r="J90" s="1048"/>
      <c r="K90" s="493" t="s">
        <v>2834</v>
      </c>
      <c r="L90" s="980"/>
      <c r="M90" s="1048"/>
      <c r="N90" s="493" t="s">
        <v>3056</v>
      </c>
      <c r="O90" s="980"/>
      <c r="P90" s="1048"/>
    </row>
    <row r="91" spans="1:16" s="458" customFormat="1" ht="3" customHeight="1">
      <c r="A91" s="735"/>
      <c r="B91" s="735"/>
      <c r="G91" s="480"/>
      <c r="H91" s="719"/>
      <c r="I91" s="719"/>
      <c r="M91" s="469"/>
    </row>
    <row r="92" spans="1:16" s="458" customFormat="1" ht="13.2" customHeight="1">
      <c r="A92" s="491" t="s">
        <v>463</v>
      </c>
      <c r="B92" s="735"/>
      <c r="C92" s="715" t="s">
        <v>2665</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2" customHeight="1">
      <c r="C94" s="487" t="s">
        <v>3257</v>
      </c>
      <c r="D94" s="494"/>
      <c r="E94" s="494"/>
      <c r="F94" s="494"/>
      <c r="G94" s="494"/>
      <c r="H94" s="494"/>
      <c r="I94" s="494"/>
      <c r="J94" s="494"/>
      <c r="K94" s="494"/>
      <c r="L94" s="494"/>
      <c r="M94" s="494"/>
      <c r="N94" s="494"/>
      <c r="O94" s="494"/>
      <c r="P94" s="494"/>
    </row>
    <row r="95" spans="1:16" s="458" customFormat="1" ht="4.95" customHeight="1">
      <c r="A95" s="735"/>
      <c r="B95" s="735"/>
      <c r="C95" s="495"/>
      <c r="D95" s="495"/>
      <c r="E95" s="495"/>
      <c r="F95" s="495"/>
      <c r="G95" s="495"/>
      <c r="H95" s="495"/>
      <c r="I95" s="495"/>
      <c r="J95" s="495"/>
      <c r="K95" s="495"/>
      <c r="L95" s="495"/>
      <c r="M95" s="495"/>
      <c r="N95" s="495"/>
      <c r="O95" s="495"/>
      <c r="P95" s="495"/>
    </row>
    <row r="96" spans="1:16" s="458" customFormat="1" ht="13.2" customHeight="1">
      <c r="A96" s="735"/>
      <c r="B96" s="735" t="s">
        <v>3060</v>
      </c>
      <c r="C96" s="715" t="s">
        <v>2122</v>
      </c>
      <c r="D96" s="716"/>
      <c r="E96" s="716"/>
      <c r="F96" s="719"/>
      <c r="G96" s="719"/>
      <c r="H96" s="881">
        <v>1</v>
      </c>
      <c r="N96" s="721"/>
      <c r="O96" s="721"/>
    </row>
    <row r="97" spans="1:16" s="458" customFormat="1" ht="3.6" customHeight="1">
      <c r="A97" s="735"/>
      <c r="B97" s="735"/>
      <c r="C97" s="495"/>
      <c r="D97" s="495"/>
      <c r="E97" s="495"/>
      <c r="F97" s="495"/>
      <c r="G97" s="495"/>
      <c r="H97" s="495"/>
      <c r="J97" s="495"/>
      <c r="M97" s="495"/>
      <c r="N97" s="495"/>
      <c r="O97" s="495"/>
    </row>
    <row r="98" spans="1:16" s="458" customFormat="1" ht="13.2" customHeight="1">
      <c r="A98" s="735"/>
      <c r="B98" s="735" t="s">
        <v>3063</v>
      </c>
      <c r="C98" s="715" t="s">
        <v>525</v>
      </c>
      <c r="D98" s="716"/>
      <c r="E98" s="716"/>
      <c r="F98" s="719"/>
      <c r="G98" s="719"/>
      <c r="H98" s="898"/>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2" customHeight="1">
      <c r="B100" s="735" t="s">
        <v>1238</v>
      </c>
      <c r="C100" s="715" t="s">
        <v>395</v>
      </c>
      <c r="D100" s="716"/>
      <c r="E100" s="716"/>
      <c r="F100" s="719"/>
      <c r="G100" s="719"/>
      <c r="H100" s="719"/>
      <c r="I100" s="719"/>
      <c r="J100" s="480"/>
      <c r="K100" s="719"/>
      <c r="L100" s="719"/>
      <c r="N100" s="721"/>
      <c r="O100" s="721"/>
    </row>
    <row r="101" spans="1:16" s="458" customFormat="1" ht="13.2" customHeight="1">
      <c r="B101" s="735"/>
      <c r="C101" s="716" t="s">
        <v>3235</v>
      </c>
      <c r="D101" s="716"/>
      <c r="F101" s="716" t="s">
        <v>1773</v>
      </c>
      <c r="G101" s="719"/>
      <c r="H101" s="719"/>
      <c r="I101" s="719"/>
      <c r="J101" s="716" t="s">
        <v>3235</v>
      </c>
      <c r="K101" s="716"/>
      <c r="M101" s="716" t="s">
        <v>1773</v>
      </c>
      <c r="N101" s="719"/>
      <c r="O101" s="719"/>
      <c r="P101" s="719"/>
    </row>
    <row r="102" spans="1:16" s="458" customFormat="1" ht="13.2" customHeight="1">
      <c r="A102" s="735"/>
      <c r="B102" s="735"/>
      <c r="C102" s="992" t="s">
        <v>3938</v>
      </c>
      <c r="D102" s="993"/>
      <c r="E102" s="993"/>
      <c r="F102" s="993" t="s">
        <v>3970</v>
      </c>
      <c r="G102" s="993"/>
      <c r="H102" s="993"/>
      <c r="I102" s="1021"/>
      <c r="J102" s="992">
        <v>8</v>
      </c>
      <c r="K102" s="993"/>
      <c r="L102" s="993"/>
      <c r="M102" s="993"/>
      <c r="N102" s="993"/>
      <c r="O102" s="993"/>
      <c r="P102" s="1021"/>
    </row>
    <row r="103" spans="1:16" s="458" customFormat="1" ht="13.2" customHeight="1">
      <c r="A103" s="735"/>
      <c r="B103" s="735"/>
      <c r="C103" s="956">
        <v>2</v>
      </c>
      <c r="D103" s="957"/>
      <c r="E103" s="957"/>
      <c r="F103" s="957"/>
      <c r="G103" s="957"/>
      <c r="H103" s="957"/>
      <c r="I103" s="958"/>
      <c r="J103" s="956">
        <v>9</v>
      </c>
      <c r="K103" s="957"/>
      <c r="L103" s="957"/>
      <c r="M103" s="957"/>
      <c r="N103" s="957"/>
      <c r="O103" s="957"/>
      <c r="P103" s="958"/>
    </row>
    <row r="104" spans="1:16" s="458" customFormat="1" ht="13.2" customHeight="1">
      <c r="A104" s="735"/>
      <c r="B104" s="735"/>
      <c r="C104" s="956">
        <v>3</v>
      </c>
      <c r="D104" s="957"/>
      <c r="E104" s="957"/>
      <c r="F104" s="957"/>
      <c r="G104" s="957"/>
      <c r="H104" s="957"/>
      <c r="I104" s="958"/>
      <c r="J104" s="956">
        <v>10</v>
      </c>
      <c r="K104" s="957"/>
      <c r="L104" s="957"/>
      <c r="M104" s="957"/>
      <c r="N104" s="957"/>
      <c r="O104" s="957"/>
      <c r="P104" s="958"/>
    </row>
    <row r="105" spans="1:16" s="458" customFormat="1" ht="13.2" customHeight="1">
      <c r="A105" s="735"/>
      <c r="B105" s="735"/>
      <c r="C105" s="956">
        <v>4</v>
      </c>
      <c r="D105" s="957"/>
      <c r="E105" s="957"/>
      <c r="F105" s="957"/>
      <c r="G105" s="957"/>
      <c r="H105" s="957"/>
      <c r="I105" s="958"/>
      <c r="J105" s="956">
        <v>11</v>
      </c>
      <c r="K105" s="957"/>
      <c r="L105" s="957"/>
      <c r="M105" s="957"/>
      <c r="N105" s="957"/>
      <c r="O105" s="957"/>
      <c r="P105" s="958"/>
    </row>
    <row r="106" spans="1:16" s="458" customFormat="1" ht="13.2" customHeight="1">
      <c r="A106" s="735"/>
      <c r="B106" s="735"/>
      <c r="C106" s="956">
        <v>5</v>
      </c>
      <c r="D106" s="957"/>
      <c r="E106" s="957"/>
      <c r="F106" s="957"/>
      <c r="G106" s="957"/>
      <c r="H106" s="957"/>
      <c r="I106" s="958"/>
      <c r="J106" s="956">
        <v>12</v>
      </c>
      <c r="K106" s="957"/>
      <c r="L106" s="957"/>
      <c r="M106" s="957"/>
      <c r="N106" s="957"/>
      <c r="O106" s="957"/>
      <c r="P106" s="958"/>
    </row>
    <row r="107" spans="1:16" s="458" customFormat="1" ht="13.2" customHeight="1">
      <c r="A107" s="735"/>
      <c r="B107" s="735"/>
      <c r="C107" s="956">
        <v>6</v>
      </c>
      <c r="D107" s="957"/>
      <c r="E107" s="957"/>
      <c r="F107" s="957"/>
      <c r="G107" s="957"/>
      <c r="H107" s="957"/>
      <c r="I107" s="958"/>
      <c r="J107" s="956">
        <v>13</v>
      </c>
      <c r="K107" s="957"/>
      <c r="L107" s="957"/>
      <c r="M107" s="957"/>
      <c r="N107" s="957"/>
      <c r="O107" s="957"/>
      <c r="P107" s="958"/>
    </row>
    <row r="108" spans="1:16" s="458" customFormat="1" ht="13.2" customHeight="1">
      <c r="A108" s="735"/>
      <c r="B108" s="735"/>
      <c r="C108" s="961">
        <v>7</v>
      </c>
      <c r="D108" s="962"/>
      <c r="E108" s="962"/>
      <c r="F108" s="962"/>
      <c r="G108" s="962"/>
      <c r="H108" s="962"/>
      <c r="I108" s="963"/>
      <c r="J108" s="961">
        <v>14</v>
      </c>
      <c r="K108" s="962"/>
      <c r="L108" s="962"/>
      <c r="M108" s="962"/>
      <c r="N108" s="962"/>
      <c r="O108" s="962"/>
      <c r="P108" s="963"/>
    </row>
    <row r="109" spans="1:16" s="458" customFormat="1" ht="4.95" customHeight="1">
      <c r="A109" s="735"/>
      <c r="B109" s="735"/>
      <c r="C109" s="495"/>
      <c r="D109" s="495"/>
      <c r="E109" s="495"/>
      <c r="F109" s="495"/>
      <c r="G109" s="495"/>
      <c r="H109" s="495"/>
      <c r="I109" s="495"/>
      <c r="J109" s="495"/>
      <c r="K109" s="495"/>
      <c r="L109" s="495"/>
      <c r="M109" s="495"/>
      <c r="N109" s="495"/>
      <c r="O109" s="495"/>
      <c r="P109" s="495"/>
    </row>
    <row r="110" spans="1:16" s="458" customFormat="1" ht="13.2" customHeight="1">
      <c r="A110" s="735"/>
      <c r="B110" s="735" t="s">
        <v>3212</v>
      </c>
      <c r="C110" s="1052" t="s">
        <v>2900</v>
      </c>
      <c r="D110" s="1052"/>
      <c r="E110" s="1052"/>
      <c r="F110" s="1052"/>
      <c r="G110" s="1052"/>
      <c r="H110" s="1052"/>
      <c r="I110" s="1052"/>
      <c r="J110" s="1052"/>
      <c r="K110" s="1052"/>
      <c r="L110" s="1052"/>
      <c r="M110" s="1052"/>
      <c r="N110" s="1052"/>
      <c r="O110" s="1052"/>
      <c r="P110" s="1052"/>
    </row>
    <row r="111" spans="1:16" s="458" customFormat="1" ht="13.2" customHeight="1">
      <c r="A111" s="735"/>
      <c r="B111" s="735"/>
      <c r="C111" s="1052"/>
      <c r="D111" s="1052"/>
      <c r="E111" s="1052"/>
      <c r="F111" s="1052"/>
      <c r="G111" s="1052"/>
      <c r="H111" s="1052"/>
      <c r="I111" s="1052"/>
      <c r="J111" s="1052"/>
      <c r="K111" s="1052"/>
      <c r="L111" s="1052"/>
      <c r="M111" s="1052"/>
      <c r="N111" s="1052"/>
      <c r="O111" s="1052"/>
      <c r="P111" s="1052"/>
    </row>
    <row r="112" spans="1:16" s="458" customFormat="1" ht="13.2" customHeight="1">
      <c r="B112" s="735"/>
      <c r="C112" s="716" t="s">
        <v>3235</v>
      </c>
      <c r="D112" s="716"/>
      <c r="F112" s="716" t="s">
        <v>1773</v>
      </c>
      <c r="G112" s="719"/>
      <c r="H112" s="719"/>
      <c r="I112" s="719"/>
      <c r="J112" s="716" t="s">
        <v>3235</v>
      </c>
      <c r="K112" s="716"/>
      <c r="M112" s="716" t="s">
        <v>1773</v>
      </c>
      <c r="N112" s="719"/>
      <c r="O112" s="719"/>
      <c r="P112" s="719"/>
    </row>
    <row r="113" spans="1:16" s="458" customFormat="1" ht="13.2" customHeight="1">
      <c r="A113" s="735"/>
      <c r="B113" s="735"/>
      <c r="C113" s="992">
        <v>1</v>
      </c>
      <c r="D113" s="993"/>
      <c r="E113" s="993"/>
      <c r="F113" s="993"/>
      <c r="G113" s="993"/>
      <c r="H113" s="993"/>
      <c r="I113" s="1021"/>
      <c r="J113" s="992">
        <v>8</v>
      </c>
      <c r="K113" s="993"/>
      <c r="L113" s="993"/>
      <c r="M113" s="993"/>
      <c r="N113" s="993"/>
      <c r="O113" s="993"/>
      <c r="P113" s="1021"/>
    </row>
    <row r="114" spans="1:16" s="458" customFormat="1" ht="13.2" customHeight="1">
      <c r="A114" s="735"/>
      <c r="B114" s="735"/>
      <c r="C114" s="956">
        <v>2</v>
      </c>
      <c r="D114" s="957"/>
      <c r="E114" s="957"/>
      <c r="F114" s="957"/>
      <c r="G114" s="957"/>
      <c r="H114" s="957"/>
      <c r="I114" s="958"/>
      <c r="J114" s="956">
        <v>9</v>
      </c>
      <c r="K114" s="957"/>
      <c r="L114" s="957"/>
      <c r="M114" s="957"/>
      <c r="N114" s="957"/>
      <c r="O114" s="957"/>
      <c r="P114" s="958"/>
    </row>
    <row r="115" spans="1:16" s="458" customFormat="1" ht="13.2" customHeight="1">
      <c r="A115" s="735"/>
      <c r="B115" s="735"/>
      <c r="C115" s="956">
        <v>3</v>
      </c>
      <c r="D115" s="957"/>
      <c r="E115" s="957"/>
      <c r="F115" s="957"/>
      <c r="G115" s="957"/>
      <c r="H115" s="957"/>
      <c r="I115" s="958"/>
      <c r="J115" s="956">
        <v>10</v>
      </c>
      <c r="K115" s="957"/>
      <c r="L115" s="957"/>
      <c r="M115" s="957"/>
      <c r="N115" s="957"/>
      <c r="O115" s="957"/>
      <c r="P115" s="958"/>
    </row>
    <row r="116" spans="1:16" s="458" customFormat="1" ht="13.2" customHeight="1">
      <c r="A116" s="735"/>
      <c r="B116" s="735"/>
      <c r="C116" s="956">
        <v>4</v>
      </c>
      <c r="D116" s="957"/>
      <c r="E116" s="957"/>
      <c r="F116" s="957"/>
      <c r="G116" s="957"/>
      <c r="H116" s="957"/>
      <c r="I116" s="958"/>
      <c r="J116" s="956">
        <v>11</v>
      </c>
      <c r="K116" s="957"/>
      <c r="L116" s="957"/>
      <c r="M116" s="957"/>
      <c r="N116" s="957"/>
      <c r="O116" s="957"/>
      <c r="P116" s="958"/>
    </row>
    <row r="117" spans="1:16" s="458" customFormat="1" ht="13.2" customHeight="1">
      <c r="A117" s="735"/>
      <c r="B117" s="735"/>
      <c r="C117" s="956">
        <v>5</v>
      </c>
      <c r="D117" s="957"/>
      <c r="E117" s="957"/>
      <c r="F117" s="957"/>
      <c r="G117" s="957"/>
      <c r="H117" s="957"/>
      <c r="I117" s="958"/>
      <c r="J117" s="956">
        <v>12</v>
      </c>
      <c r="K117" s="957"/>
      <c r="L117" s="957"/>
      <c r="M117" s="957"/>
      <c r="N117" s="957"/>
      <c r="O117" s="957"/>
      <c r="P117" s="958"/>
    </row>
    <row r="118" spans="1:16" s="458" customFormat="1" ht="13.2" customHeight="1">
      <c r="A118" s="735"/>
      <c r="B118" s="735"/>
      <c r="C118" s="956">
        <v>6</v>
      </c>
      <c r="D118" s="957"/>
      <c r="E118" s="957"/>
      <c r="F118" s="957"/>
      <c r="G118" s="957"/>
      <c r="H118" s="957"/>
      <c r="I118" s="958"/>
      <c r="J118" s="956">
        <v>13</v>
      </c>
      <c r="K118" s="957"/>
      <c r="L118" s="957"/>
      <c r="M118" s="957"/>
      <c r="N118" s="957"/>
      <c r="O118" s="957"/>
      <c r="P118" s="958"/>
    </row>
    <row r="119" spans="1:16" s="458" customFormat="1" ht="13.2" customHeight="1">
      <c r="A119" s="735"/>
      <c r="B119" s="735"/>
      <c r="C119" s="961">
        <v>7</v>
      </c>
      <c r="D119" s="962"/>
      <c r="E119" s="962"/>
      <c r="F119" s="962"/>
      <c r="G119" s="962"/>
      <c r="H119" s="962"/>
      <c r="I119" s="963"/>
      <c r="J119" s="961">
        <v>14</v>
      </c>
      <c r="K119" s="962"/>
      <c r="L119" s="962"/>
      <c r="M119" s="962"/>
      <c r="N119" s="962"/>
      <c r="O119" s="962"/>
      <c r="P119" s="963"/>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2" customHeight="1">
      <c r="A121" s="491" t="s">
        <v>464</v>
      </c>
      <c r="B121" s="735"/>
      <c r="C121" s="488" t="s">
        <v>3665</v>
      </c>
      <c r="D121" s="488"/>
      <c r="E121" s="488"/>
      <c r="F121" s="488"/>
      <c r="H121" s="876" t="s">
        <v>3965</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2" customHeight="1">
      <c r="A123" s="735"/>
      <c r="B123" s="735" t="s">
        <v>3060</v>
      </c>
      <c r="C123" s="465" t="s">
        <v>2731</v>
      </c>
      <c r="H123" s="876"/>
      <c r="M123" s="719"/>
      <c r="N123" s="721"/>
      <c r="O123" s="721"/>
      <c r="P123" s="469"/>
    </row>
    <row r="124" spans="1:16" s="458" customFormat="1" ht="13.2" customHeight="1">
      <c r="A124" s="735"/>
      <c r="B124" s="735"/>
      <c r="C124" s="716" t="s">
        <v>3667</v>
      </c>
      <c r="D124" s="716"/>
      <c r="E124" s="716"/>
      <c r="F124" s="719"/>
      <c r="H124" s="899"/>
      <c r="N124" s="721"/>
      <c r="O124" s="721"/>
      <c r="P124" s="469"/>
    </row>
    <row r="125" spans="1:16" s="458" customFormat="1" ht="13.2" customHeight="1">
      <c r="A125" s="735"/>
      <c r="B125" s="735"/>
      <c r="C125" s="496" t="s">
        <v>2730</v>
      </c>
      <c r="D125" s="464"/>
      <c r="H125" s="951"/>
      <c r="I125" s="952"/>
      <c r="P125" s="469"/>
    </row>
    <row r="126" spans="1:16" s="458" customFormat="1" ht="13.2" customHeight="1">
      <c r="A126" s="735"/>
      <c r="B126" s="735"/>
      <c r="C126" s="716" t="s">
        <v>3668</v>
      </c>
      <c r="D126" s="716"/>
      <c r="E126" s="716"/>
      <c r="F126" s="719"/>
      <c r="H126" s="899"/>
      <c r="K126" s="418" t="s">
        <v>3375</v>
      </c>
      <c r="O126" s="951" t="s">
        <v>714</v>
      </c>
      <c r="P126" s="952"/>
    </row>
    <row r="127" spans="1:16" s="458" customFormat="1" ht="13.2" customHeight="1">
      <c r="A127" s="735"/>
      <c r="B127" s="735"/>
      <c r="C127" s="716" t="s">
        <v>3666</v>
      </c>
      <c r="F127" s="719"/>
      <c r="H127" s="881"/>
      <c r="K127" s="418" t="s">
        <v>3376</v>
      </c>
      <c r="O127" s="951" t="s">
        <v>714</v>
      </c>
      <c r="P127" s="952"/>
    </row>
    <row r="128" spans="1:16" s="458" customFormat="1" ht="13.2" customHeight="1">
      <c r="A128" s="735"/>
      <c r="B128" s="735"/>
      <c r="C128" s="716" t="s">
        <v>3273</v>
      </c>
      <c r="D128" s="716"/>
      <c r="E128" s="716"/>
      <c r="F128" s="719"/>
      <c r="H128" s="959"/>
      <c r="I128" s="960"/>
      <c r="N128" s="721"/>
      <c r="O128" s="721"/>
      <c r="P128" s="469"/>
    </row>
    <row r="129" spans="1:16" s="458" customFormat="1" ht="3" customHeight="1">
      <c r="A129" s="735"/>
      <c r="B129" s="735"/>
      <c r="C129" s="716"/>
      <c r="D129" s="716"/>
      <c r="E129" s="716"/>
      <c r="F129" s="719"/>
      <c r="N129" s="721"/>
      <c r="O129" s="721"/>
      <c r="P129" s="469"/>
    </row>
    <row r="130" spans="1:16" s="458" customFormat="1" ht="13.2" customHeight="1">
      <c r="A130" s="735"/>
      <c r="B130" s="735" t="s">
        <v>3063</v>
      </c>
      <c r="C130" s="715" t="s">
        <v>3770</v>
      </c>
      <c r="D130" s="716"/>
      <c r="E130" s="716"/>
      <c r="F130" s="719"/>
      <c r="H130" s="881"/>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2" customHeight="1">
      <c r="A132" s="735"/>
      <c r="B132" s="735" t="s">
        <v>1238</v>
      </c>
      <c r="C132" s="715" t="s">
        <v>981</v>
      </c>
      <c r="D132" s="716"/>
      <c r="E132" s="716"/>
      <c r="F132" s="719"/>
      <c r="G132" s="719"/>
      <c r="N132" s="721"/>
      <c r="O132" s="721"/>
      <c r="P132" s="469"/>
    </row>
    <row r="133" spans="1:16" s="458" customFormat="1" ht="13.2" customHeight="1">
      <c r="A133" s="735"/>
      <c r="B133" s="735"/>
      <c r="C133" s="716" t="s">
        <v>1085</v>
      </c>
      <c r="D133" s="716"/>
      <c r="E133" s="716"/>
      <c r="F133" s="719"/>
      <c r="G133" s="719"/>
      <c r="H133" s="881"/>
      <c r="K133" s="716" t="s">
        <v>2286</v>
      </c>
      <c r="L133" s="716"/>
      <c r="M133" s="719"/>
      <c r="N133" s="719"/>
      <c r="O133" s="881"/>
      <c r="P133" s="469"/>
    </row>
    <row r="134" spans="1:16" s="458" customFormat="1" ht="13.2" customHeight="1">
      <c r="A134" s="735"/>
      <c r="B134" s="735"/>
      <c r="C134" s="716" t="s">
        <v>1086</v>
      </c>
      <c r="D134" s="716"/>
      <c r="E134" s="716"/>
      <c r="F134" s="719"/>
      <c r="G134" s="719"/>
      <c r="H134" s="881"/>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2" customHeight="1">
      <c r="A136" s="491" t="s">
        <v>465</v>
      </c>
      <c r="B136" s="735"/>
      <c r="C136" s="488" t="s">
        <v>1835</v>
      </c>
      <c r="D136" s="488"/>
      <c r="E136" s="488"/>
      <c r="F136" s="488"/>
      <c r="G136" s="719"/>
      <c r="H136" s="719"/>
      <c r="I136" s="719"/>
      <c r="J136" s="480"/>
      <c r="K136" s="719"/>
      <c r="L136" s="719"/>
      <c r="N136" s="721"/>
      <c r="O136" s="721"/>
      <c r="P136" s="469"/>
    </row>
    <row r="137" spans="1:16" s="458" customFormat="1" ht="1.95" customHeight="1">
      <c r="A137" s="491"/>
      <c r="B137" s="735"/>
      <c r="C137" s="715"/>
      <c r="D137" s="715"/>
      <c r="E137" s="715"/>
      <c r="F137" s="715"/>
      <c r="G137" s="719"/>
      <c r="H137" s="719"/>
      <c r="I137" s="719"/>
      <c r="J137" s="480"/>
      <c r="K137" s="719"/>
      <c r="L137" s="719"/>
      <c r="N137" s="721"/>
      <c r="O137" s="721"/>
    </row>
    <row r="138" spans="1:16" s="458" customFormat="1" ht="13.2" customHeight="1">
      <c r="A138" s="735"/>
      <c r="B138" s="735" t="s">
        <v>3060</v>
      </c>
      <c r="C138" s="479" t="s">
        <v>2864</v>
      </c>
      <c r="F138" s="719"/>
      <c r="G138" s="719"/>
      <c r="H138" s="719"/>
      <c r="I138" s="719"/>
      <c r="J138" s="480"/>
      <c r="K138" s="719"/>
      <c r="L138" s="719"/>
      <c r="N138" s="721"/>
      <c r="O138" s="721"/>
      <c r="P138" s="469"/>
    </row>
    <row r="139" spans="1:16" s="458" customFormat="1" ht="12.6" customHeight="1">
      <c r="A139" s="735"/>
      <c r="B139" s="735"/>
      <c r="C139" s="487" t="s">
        <v>2278</v>
      </c>
      <c r="D139" s="480"/>
      <c r="E139" s="480"/>
      <c r="F139" s="719"/>
      <c r="G139" s="719"/>
      <c r="H139" s="719"/>
      <c r="I139" s="719"/>
      <c r="K139" s="881" t="s">
        <v>3965</v>
      </c>
      <c r="N139" s="721"/>
      <c r="O139" s="721"/>
      <c r="P139" s="469"/>
    </row>
    <row r="140" spans="1:16" s="458" customFormat="1" ht="12.6" customHeight="1">
      <c r="A140" s="735"/>
      <c r="B140" s="735"/>
      <c r="C140" s="458" t="s">
        <v>949</v>
      </c>
      <c r="K140" s="897"/>
      <c r="L140" s="464" t="s">
        <v>2826</v>
      </c>
      <c r="P140" s="497">
        <f>IF('Part VI-Revenues &amp; Expenses'!$M$61=0,0,$K140/'Part VI-Revenues &amp; Expenses'!$M$61)</f>
        <v>0</v>
      </c>
    </row>
    <row r="141" spans="1:16" s="458" customFormat="1" ht="12.6" customHeight="1">
      <c r="A141" s="735"/>
      <c r="B141" s="735"/>
      <c r="C141" s="458" t="s">
        <v>3274</v>
      </c>
      <c r="K141" s="897"/>
      <c r="L141" s="464" t="s">
        <v>2826</v>
      </c>
      <c r="P141" s="497">
        <f>IF('Part VI-Revenues &amp; Expenses'!$M$61=0,0,$K141/'Part VI-Revenues &amp; Expenses'!$M$61)</f>
        <v>0</v>
      </c>
    </row>
    <row r="142" spans="1:16" s="458" customFormat="1" ht="12.6" customHeight="1">
      <c r="A142" s="735"/>
      <c r="B142" s="735"/>
      <c r="C142" s="458" t="s">
        <v>2827</v>
      </c>
      <c r="E142" s="951"/>
      <c r="F142" s="968"/>
      <c r="G142" s="968"/>
      <c r="H142" s="968"/>
      <c r="I142" s="968"/>
      <c r="J142" s="968"/>
      <c r="K142" s="952"/>
      <c r="L142" s="498" t="s">
        <v>2828</v>
      </c>
      <c r="M142" s="951"/>
      <c r="N142" s="968"/>
      <c r="O142" s="968"/>
      <c r="P142" s="952"/>
    </row>
    <row r="143" spans="1:16" s="458" customFormat="1" ht="12.6" customHeight="1">
      <c r="A143" s="735"/>
      <c r="B143" s="735"/>
      <c r="C143" s="464" t="s">
        <v>2829</v>
      </c>
      <c r="D143" s="472"/>
      <c r="E143" s="951"/>
      <c r="F143" s="968"/>
      <c r="G143" s="968"/>
      <c r="H143" s="968"/>
      <c r="I143" s="968"/>
      <c r="J143" s="968"/>
      <c r="K143" s="1026"/>
      <c r="L143" s="714" t="s">
        <v>2831</v>
      </c>
      <c r="M143" s="1023"/>
      <c r="N143" s="1024"/>
      <c r="O143" s="1024"/>
      <c r="P143" s="1025"/>
    </row>
    <row r="144" spans="1:16" s="458" customFormat="1" ht="12.6" customHeight="1">
      <c r="A144" s="735"/>
      <c r="B144" s="735"/>
      <c r="C144" s="464" t="s">
        <v>953</v>
      </c>
      <c r="E144" s="951"/>
      <c r="F144" s="968"/>
      <c r="G144" s="968"/>
      <c r="H144" s="952"/>
      <c r="I144" s="493" t="s">
        <v>3354</v>
      </c>
      <c r="J144" s="996"/>
      <c r="K144" s="997"/>
      <c r="L144" s="498" t="s">
        <v>2834</v>
      </c>
      <c r="M144" s="953"/>
      <c r="N144" s="954"/>
      <c r="O144" s="955"/>
    </row>
    <row r="145" spans="1:16" s="458" customFormat="1" ht="12.6" customHeight="1">
      <c r="A145" s="735"/>
      <c r="B145" s="735"/>
      <c r="C145" s="464" t="s">
        <v>2832</v>
      </c>
      <c r="E145" s="953"/>
      <c r="F145" s="954"/>
      <c r="G145" s="955"/>
      <c r="H145" s="499" t="s">
        <v>2833</v>
      </c>
      <c r="I145" s="953"/>
      <c r="J145" s="954"/>
      <c r="K145" s="955"/>
      <c r="L145" s="500" t="s">
        <v>3056</v>
      </c>
      <c r="M145" s="953"/>
      <c r="N145" s="954"/>
      <c r="O145" s="955"/>
    </row>
    <row r="146" spans="1:16" s="458" customFormat="1" ht="1.95"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3063</v>
      </c>
      <c r="C147" s="715" t="s">
        <v>2372</v>
      </c>
      <c r="D147" s="715"/>
      <c r="E147" s="715"/>
      <c r="F147" s="715"/>
      <c r="G147" s="715"/>
      <c r="I147" s="881" t="s">
        <v>3963</v>
      </c>
      <c r="J147" s="949" t="s">
        <v>1253</v>
      </c>
      <c r="K147" s="950"/>
      <c r="L147" s="881">
        <v>2026</v>
      </c>
      <c r="M147" s="946" t="s">
        <v>3471</v>
      </c>
      <c r="N147" s="947"/>
      <c r="O147" s="948"/>
      <c r="P147" s="899">
        <v>5</v>
      </c>
    </row>
    <row r="148" spans="1:16" s="458" customFormat="1" ht="1.95" customHeight="1">
      <c r="A148" s="735"/>
      <c r="B148" s="735"/>
      <c r="C148" s="715"/>
      <c r="D148" s="715"/>
      <c r="E148" s="461"/>
      <c r="F148" s="715"/>
      <c r="G148" s="715"/>
      <c r="J148" s="468"/>
      <c r="K148" s="502"/>
      <c r="M148" s="721"/>
      <c r="O148" s="719"/>
      <c r="P148" s="469"/>
    </row>
    <row r="149" spans="1:16" s="458" customFormat="1" ht="12.6" customHeight="1">
      <c r="A149" s="735"/>
      <c r="B149" s="735" t="s">
        <v>1238</v>
      </c>
      <c r="C149" s="715" t="s">
        <v>2785</v>
      </c>
      <c r="D149" s="715"/>
      <c r="E149" s="715"/>
      <c r="F149" s="715"/>
      <c r="G149" s="715"/>
      <c r="I149" s="881" t="s">
        <v>3965</v>
      </c>
      <c r="L149" s="418"/>
      <c r="M149" s="418"/>
      <c r="P149" s="469"/>
    </row>
    <row r="150" spans="1:16" s="458" customFormat="1" ht="1.95"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3212</v>
      </c>
      <c r="C151" s="995" t="s">
        <v>3055</v>
      </c>
      <c r="D151" s="995"/>
      <c r="E151" s="995"/>
      <c r="F151" s="995"/>
      <c r="G151" s="715"/>
      <c r="I151" s="881" t="s">
        <v>3965</v>
      </c>
    </row>
    <row r="152" spans="1:16" s="458" customFormat="1" ht="12.6" customHeight="1">
      <c r="B152" s="735"/>
      <c r="C152" s="994" t="s">
        <v>2209</v>
      </c>
      <c r="D152" s="994"/>
      <c r="E152" s="715"/>
      <c r="F152" s="715"/>
      <c r="G152" s="715"/>
      <c r="I152" s="900"/>
    </row>
    <row r="153" spans="1:16" s="458" customFormat="1" ht="12.6" customHeight="1">
      <c r="A153" s="735"/>
      <c r="B153" s="735"/>
      <c r="C153" s="965" t="s">
        <v>1379</v>
      </c>
      <c r="D153" s="965"/>
      <c r="E153" s="461"/>
      <c r="F153" s="715"/>
      <c r="G153" s="715"/>
      <c r="I153" s="900"/>
      <c r="K153" s="468"/>
      <c r="P153" s="469"/>
    </row>
    <row r="154" spans="1:16" s="458" customFormat="1" ht="12.6" customHeight="1">
      <c r="B154" s="735"/>
      <c r="C154" s="965" t="s">
        <v>2822</v>
      </c>
      <c r="D154" s="965"/>
      <c r="E154" s="461"/>
      <c r="F154" s="715"/>
      <c r="G154" s="715"/>
      <c r="I154" s="503" t="str">
        <f>IF(I152="","",I153/I152)</f>
        <v/>
      </c>
      <c r="K154" s="468"/>
      <c r="M154" s="721"/>
      <c r="P154" s="469"/>
    </row>
    <row r="155" spans="1:16" s="458" customFormat="1" ht="1.95" customHeight="1">
      <c r="A155" s="735"/>
      <c r="B155" s="735"/>
      <c r="C155" s="715"/>
      <c r="D155" s="715"/>
      <c r="E155" s="461"/>
      <c r="F155" s="715"/>
      <c r="G155" s="715"/>
      <c r="H155" s="502"/>
      <c r="J155" s="468"/>
      <c r="K155" s="480"/>
      <c r="M155" s="721"/>
      <c r="O155" s="719"/>
      <c r="P155" s="469"/>
    </row>
    <row r="156" spans="1:16" s="458" customFormat="1" ht="13.2" customHeight="1">
      <c r="A156" s="735"/>
      <c r="B156" s="735" t="s">
        <v>2762</v>
      </c>
      <c r="C156" s="395" t="s">
        <v>2373</v>
      </c>
      <c r="D156" s="716"/>
      <c r="E156" s="716"/>
      <c r="F156" s="716"/>
      <c r="G156" s="716"/>
      <c r="H156" s="719"/>
      <c r="J156" s="468"/>
      <c r="K156" s="480"/>
      <c r="M156" s="721"/>
      <c r="O156" s="719"/>
      <c r="P156" s="469"/>
    </row>
    <row r="157" spans="1:16" s="458" customFormat="1" ht="12.6" customHeight="1">
      <c r="A157" s="735"/>
      <c r="B157" s="735"/>
      <c r="C157" s="721" t="s">
        <v>3328</v>
      </c>
      <c r="D157" s="470"/>
      <c r="E157" s="721"/>
      <c r="F157" s="721"/>
      <c r="I157" s="881" t="s">
        <v>3965</v>
      </c>
      <c r="L157" s="721" t="s">
        <v>3327</v>
      </c>
      <c r="P157" s="881" t="s">
        <v>3965</v>
      </c>
    </row>
    <row r="158" spans="1:16" s="458" customFormat="1" ht="12.6" customHeight="1">
      <c r="A158" s="735"/>
      <c r="B158" s="735"/>
      <c r="C158" s="721" t="s">
        <v>3330</v>
      </c>
      <c r="I158" s="881" t="s">
        <v>3965</v>
      </c>
      <c r="L158" s="721" t="s">
        <v>2375</v>
      </c>
      <c r="P158" s="881" t="s">
        <v>3965</v>
      </c>
    </row>
    <row r="159" spans="1:16" s="458" customFormat="1" ht="12.6" customHeight="1">
      <c r="A159" s="735"/>
      <c r="C159" s="721" t="s">
        <v>1979</v>
      </c>
      <c r="D159" s="505"/>
      <c r="I159" s="881" t="s">
        <v>3965</v>
      </c>
      <c r="L159" s="721" t="s">
        <v>2544</v>
      </c>
      <c r="P159" s="881" t="s">
        <v>3965</v>
      </c>
    </row>
    <row r="160" spans="1:16" s="458" customFormat="1" ht="12.6" customHeight="1">
      <c r="A160" s="735"/>
      <c r="B160" s="735"/>
      <c r="C160" s="721" t="s">
        <v>2374</v>
      </c>
      <c r="D160" s="470"/>
      <c r="E160" s="721"/>
      <c r="F160" s="721"/>
      <c r="I160" s="881" t="s">
        <v>3963</v>
      </c>
      <c r="K160" s="470"/>
      <c r="L160" s="721" t="s">
        <v>2289</v>
      </c>
      <c r="M160" s="721"/>
      <c r="P160" s="881" t="s">
        <v>3965</v>
      </c>
    </row>
    <row r="161" spans="1:16" s="458" customFormat="1" ht="12.6" customHeight="1">
      <c r="A161" s="735"/>
      <c r="B161" s="735"/>
      <c r="C161" s="721" t="s">
        <v>2376</v>
      </c>
      <c r="D161" s="470"/>
      <c r="E161" s="721"/>
      <c r="F161" s="721"/>
      <c r="I161" s="881" t="s">
        <v>3963</v>
      </c>
      <c r="K161" s="470"/>
      <c r="L161" s="721"/>
      <c r="M161" s="721"/>
    </row>
    <row r="162" spans="1:16" s="458" customFormat="1" ht="12.6" customHeight="1">
      <c r="A162" s="735"/>
      <c r="B162" s="461"/>
      <c r="C162" s="721" t="s">
        <v>2844</v>
      </c>
      <c r="D162" s="470"/>
      <c r="I162" s="881" t="s">
        <v>3965</v>
      </c>
      <c r="J162" s="504" t="s">
        <v>3374</v>
      </c>
      <c r="O162" s="990"/>
      <c r="P162" s="991"/>
    </row>
    <row r="163" spans="1:16" s="458" customFormat="1" ht="12.6" customHeight="1">
      <c r="A163" s="735"/>
      <c r="B163" s="735"/>
      <c r="C163" s="721" t="s">
        <v>3410</v>
      </c>
      <c r="E163" s="987"/>
      <c r="F163" s="988"/>
      <c r="G163" s="988"/>
      <c r="H163" s="989"/>
      <c r="I163" s="881" t="s">
        <v>3965</v>
      </c>
    </row>
    <row r="164" spans="1:16" s="458" customFormat="1" ht="1.95" customHeight="1">
      <c r="A164" s="735"/>
      <c r="B164" s="735"/>
      <c r="P164" s="468"/>
    </row>
    <row r="165" spans="1:16" s="458" customFormat="1" ht="13.2" customHeight="1">
      <c r="B165" s="735" t="s">
        <v>2763</v>
      </c>
      <c r="C165" s="465" t="s">
        <v>1228</v>
      </c>
    </row>
    <row r="166" spans="1:16" s="458" customFormat="1" ht="12.6" customHeight="1">
      <c r="A166" s="735"/>
      <c r="B166" s="735"/>
      <c r="C166" s="464" t="s">
        <v>975</v>
      </c>
      <c r="D166" s="716"/>
      <c r="E166" s="716"/>
      <c r="F166" s="719"/>
      <c r="G166" s="719"/>
      <c r="I166" s="959"/>
      <c r="J166" s="960"/>
      <c r="N166" s="721"/>
      <c r="O166" s="721"/>
      <c r="P166" s="469"/>
    </row>
    <row r="167" spans="1:16" s="458" customFormat="1" ht="12.6" customHeight="1">
      <c r="A167" s="735"/>
      <c r="B167" s="735"/>
      <c r="C167" s="464" t="s">
        <v>367</v>
      </c>
      <c r="D167" s="716"/>
      <c r="E167" s="716"/>
      <c r="F167" s="719"/>
      <c r="G167" s="719"/>
      <c r="I167" s="959"/>
      <c r="J167" s="960"/>
      <c r="N167" s="721"/>
      <c r="O167" s="721"/>
      <c r="P167" s="469"/>
    </row>
    <row r="168" spans="1:16" s="458" customFormat="1" ht="12.6" customHeight="1">
      <c r="A168" s="735"/>
      <c r="B168" s="735"/>
      <c r="C168" s="464" t="s">
        <v>3436</v>
      </c>
      <c r="D168" s="716"/>
      <c r="E168" s="716"/>
      <c r="F168" s="719"/>
      <c r="G168" s="719"/>
      <c r="I168" s="959" t="s">
        <v>3971</v>
      </c>
      <c r="J168" s="960"/>
      <c r="N168" s="721"/>
      <c r="O168" s="721"/>
      <c r="P168" s="469"/>
    </row>
    <row r="169" spans="1:16" s="458" customFormat="1" ht="1.95" customHeight="1">
      <c r="B169" s="461"/>
      <c r="C169" s="721"/>
      <c r="H169" s="721"/>
      <c r="L169" s="482"/>
      <c r="M169" s="482"/>
      <c r="N169" s="482"/>
      <c r="O169" s="482"/>
      <c r="P169" s="466"/>
    </row>
    <row r="170" spans="1:16" ht="12" customHeight="1">
      <c r="A170" s="491" t="s">
        <v>2752</v>
      </c>
      <c r="C170" s="491" t="s">
        <v>879</v>
      </c>
      <c r="K170" s="491" t="s">
        <v>3381</v>
      </c>
      <c r="L170" s="491" t="s">
        <v>89</v>
      </c>
    </row>
    <row r="171" spans="1:16" ht="38.4" customHeight="1">
      <c r="A171" s="1009"/>
      <c r="B171" s="1010"/>
      <c r="C171" s="1010"/>
      <c r="D171" s="1010"/>
      <c r="E171" s="1010"/>
      <c r="F171" s="1010"/>
      <c r="G171" s="1010"/>
      <c r="H171" s="1010"/>
      <c r="I171" s="1010"/>
      <c r="J171" s="1011"/>
      <c r="K171" s="1012"/>
      <c r="L171" s="1013"/>
      <c r="M171" s="1013"/>
      <c r="N171" s="1013"/>
      <c r="O171" s="1013"/>
      <c r="P171" s="1014"/>
    </row>
    <row r="172" spans="1:16" ht="38.4" customHeight="1">
      <c r="A172" s="1006"/>
      <c r="B172" s="1007"/>
      <c r="C172" s="1007"/>
      <c r="D172" s="1007"/>
      <c r="E172" s="1007"/>
      <c r="F172" s="1007"/>
      <c r="G172" s="1007"/>
      <c r="H172" s="1007"/>
      <c r="I172" s="1007"/>
      <c r="J172" s="1008"/>
      <c r="K172" s="1003"/>
      <c r="L172" s="1004"/>
      <c r="M172" s="1004"/>
      <c r="N172" s="1004"/>
      <c r="O172" s="1004"/>
      <c r="P172" s="1005"/>
    </row>
    <row r="173" spans="1:16" ht="38.4" customHeight="1">
      <c r="A173" s="1015"/>
      <c r="B173" s="1016"/>
      <c r="C173" s="1016"/>
      <c r="D173" s="1016"/>
      <c r="E173" s="1016"/>
      <c r="F173" s="1016"/>
      <c r="G173" s="1016"/>
      <c r="H173" s="1016"/>
      <c r="I173" s="1016"/>
      <c r="J173" s="1017"/>
      <c r="K173" s="1018"/>
      <c r="L173" s="1019"/>
      <c r="M173" s="1019"/>
      <c r="N173" s="1019"/>
      <c r="O173" s="1019"/>
      <c r="P173" s="102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2830</v>
      </c>
      <c r="C182" s="623" t="s">
        <v>1868</v>
      </c>
      <c r="D182" s="623" t="s">
        <v>1869</v>
      </c>
      <c r="E182" s="623" t="s">
        <v>1870</v>
      </c>
      <c r="F182" s="623" t="s">
        <v>1792</v>
      </c>
      <c r="G182" s="623" t="s">
        <v>538</v>
      </c>
      <c r="H182" s="624" t="s">
        <v>1800</v>
      </c>
      <c r="I182" s="625"/>
      <c r="J182" s="623" t="s">
        <v>3637</v>
      </c>
      <c r="K182" s="623"/>
      <c r="L182" s="626"/>
      <c r="M182" s="627"/>
      <c r="N182" s="627" t="s">
        <v>953</v>
      </c>
      <c r="O182" s="628" t="s">
        <v>954</v>
      </c>
      <c r="P182" s="627" t="s">
        <v>3243</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3638</v>
      </c>
      <c r="O183" s="636" t="s">
        <v>3027</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3762</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3176</v>
      </c>
      <c r="K186" s="635"/>
      <c r="L186" s="626"/>
      <c r="M186" s="627"/>
      <c r="N186" s="636" t="s">
        <v>677</v>
      </c>
      <c r="O186" s="636" t="s">
        <v>3818</v>
      </c>
      <c r="P186" s="507" t="s">
        <v>2381</v>
      </c>
      <c r="Q186" s="611"/>
      <c r="S186" s="611"/>
      <c r="T186" s="636" t="s">
        <v>2369</v>
      </c>
      <c r="U186" s="636" t="s">
        <v>3817</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3178</v>
      </c>
      <c r="K187" s="635"/>
      <c r="L187" s="626"/>
      <c r="M187" s="627"/>
      <c r="N187" s="636" t="s">
        <v>3177</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3180</v>
      </c>
      <c r="K188" s="635"/>
      <c r="L188" s="626"/>
      <c r="M188" s="627"/>
      <c r="N188" s="636" t="s">
        <v>3179</v>
      </c>
      <c r="O188" s="636" t="s">
        <v>241</v>
      </c>
      <c r="P188" s="507" t="s">
        <v>2383</v>
      </c>
      <c r="Q188" s="611"/>
      <c r="S188" s="611"/>
      <c r="T188" s="636" t="s">
        <v>3222</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3887</v>
      </c>
      <c r="H189" s="632" t="s">
        <v>537</v>
      </c>
      <c r="I189" s="638"/>
      <c r="J189" s="634" t="s">
        <v>3182</v>
      </c>
      <c r="K189" s="635"/>
      <c r="L189" s="626"/>
      <c r="M189" s="627"/>
      <c r="N189" s="636" t="s">
        <v>3181</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3887</v>
      </c>
      <c r="H190" s="632" t="s">
        <v>537</v>
      </c>
      <c r="I190" s="638"/>
      <c r="J190" s="634" t="s">
        <v>3184</v>
      </c>
      <c r="K190" s="635"/>
      <c r="L190" s="626"/>
      <c r="M190" s="627"/>
      <c r="N190" s="636" t="s">
        <v>3183</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3888</v>
      </c>
      <c r="H191" s="632" t="s">
        <v>536</v>
      </c>
      <c r="I191" s="633"/>
      <c r="J191" s="634" t="s">
        <v>3039</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3889</v>
      </c>
      <c r="H192" s="632" t="s">
        <v>536</v>
      </c>
      <c r="I192" s="633"/>
      <c r="J192" s="634" t="s">
        <v>237</v>
      </c>
      <c r="K192" s="639"/>
      <c r="L192" s="507"/>
      <c r="M192" s="627"/>
      <c r="N192" s="636" t="s">
        <v>3040</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3890</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3891</v>
      </c>
      <c r="H194" s="632" t="s">
        <v>536</v>
      </c>
      <c r="I194" s="638"/>
      <c r="J194" s="634" t="s">
        <v>657</v>
      </c>
      <c r="K194" s="635"/>
      <c r="L194" s="626"/>
      <c r="M194" s="627"/>
      <c r="N194" s="636" t="s">
        <v>240</v>
      </c>
      <c r="O194" s="636" t="s">
        <v>3634</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3892</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3893</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3911</v>
      </c>
      <c r="H198" s="632" t="s">
        <v>536</v>
      </c>
      <c r="I198" s="638"/>
      <c r="J198" s="634" t="s">
        <v>3393</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3912</v>
      </c>
      <c r="H199" s="632" t="s">
        <v>537</v>
      </c>
      <c r="I199" s="638"/>
      <c r="J199" s="634" t="s">
        <v>3395</v>
      </c>
      <c r="K199" s="635"/>
      <c r="L199" s="626"/>
      <c r="M199" s="627"/>
      <c r="N199" s="636" t="s">
        <v>3394</v>
      </c>
      <c r="O199" s="636" t="s">
        <v>3763</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2901</v>
      </c>
      <c r="O200" s="636" t="s">
        <v>3285</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3285</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3844</v>
      </c>
      <c r="K202" s="635"/>
      <c r="L202" s="626"/>
      <c r="M202" s="627"/>
      <c r="N202" s="636" t="s">
        <v>3845</v>
      </c>
      <c r="O202" s="636" t="s">
        <v>3822</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3846</v>
      </c>
      <c r="K203" s="635"/>
      <c r="L203" s="626"/>
      <c r="M203" s="627"/>
      <c r="N203" s="636" t="s">
        <v>3847</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3887</v>
      </c>
      <c r="H204" s="632" t="s">
        <v>537</v>
      </c>
      <c r="I204" s="638"/>
      <c r="J204" s="634" t="s">
        <v>3848</v>
      </c>
      <c r="K204" s="635"/>
      <c r="L204" s="626"/>
      <c r="M204" s="627"/>
      <c r="N204" s="636" t="s">
        <v>3849</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3850</v>
      </c>
      <c r="K205" s="635"/>
      <c r="L205" s="626"/>
      <c r="M205" s="627"/>
      <c r="N205" s="636" t="s">
        <v>3851</v>
      </c>
      <c r="O205" s="636" t="s">
        <v>3760</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3852</v>
      </c>
      <c r="K206" s="635"/>
      <c r="L206" s="626"/>
      <c r="M206" s="627"/>
      <c r="N206" s="636" t="s">
        <v>3853</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3854</v>
      </c>
      <c r="K207" s="635"/>
      <c r="L207" s="626"/>
      <c r="M207" s="627"/>
      <c r="N207" s="636" t="s">
        <v>3856</v>
      </c>
      <c r="O207" s="636" t="s">
        <v>3904</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3855</v>
      </c>
      <c r="K208" s="635"/>
      <c r="L208" s="626"/>
      <c r="M208" s="627"/>
      <c r="N208" s="636" t="s">
        <v>3858</v>
      </c>
      <c r="O208" s="636" t="s">
        <v>2988</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3857</v>
      </c>
      <c r="K209" s="635"/>
      <c r="L209" s="626"/>
      <c r="M209" s="627"/>
      <c r="N209" s="636" t="s">
        <v>222</v>
      </c>
      <c r="O209" s="636" t="s">
        <v>221</v>
      </c>
      <c r="P209" s="901"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3887</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3135</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3757</v>
      </c>
      <c r="D212" s="507" t="s">
        <v>1872</v>
      </c>
      <c r="E212" s="630" t="s">
        <v>3758</v>
      </c>
      <c r="F212" s="630"/>
      <c r="G212" s="631" t="s">
        <v>957</v>
      </c>
      <c r="H212" s="632" t="s">
        <v>536</v>
      </c>
      <c r="I212" s="633"/>
      <c r="J212" s="634" t="s">
        <v>1357</v>
      </c>
      <c r="K212" s="639"/>
      <c r="L212" s="626"/>
      <c r="M212" s="627"/>
      <c r="N212" s="636" t="s">
        <v>3167</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3759</v>
      </c>
      <c r="D213" s="507" t="s">
        <v>2036</v>
      </c>
      <c r="E213" s="637" t="s">
        <v>1339</v>
      </c>
      <c r="F213" s="637"/>
      <c r="G213" s="631" t="s">
        <v>3887</v>
      </c>
      <c r="H213" s="632" t="s">
        <v>537</v>
      </c>
      <c r="I213" s="638"/>
      <c r="J213" s="634" t="s">
        <v>1359</v>
      </c>
      <c r="K213" s="639"/>
      <c r="L213" s="626"/>
      <c r="M213" s="627"/>
      <c r="N213" s="636" t="s">
        <v>2031</v>
      </c>
      <c r="O213" s="636" t="s">
        <v>1740</v>
      </c>
      <c r="P213" s="901" t="s">
        <v>1412</v>
      </c>
      <c r="Q213" s="611"/>
      <c r="S213" s="611"/>
      <c r="T213" s="611"/>
      <c r="U213" s="611"/>
      <c r="V213" s="611"/>
      <c r="W213" s="611"/>
      <c r="X213" s="611"/>
      <c r="Y213" s="611"/>
      <c r="Z213" s="611"/>
      <c r="AA213" s="611"/>
    </row>
    <row r="214" spans="1:27" ht="12" customHeight="1">
      <c r="A214" s="611"/>
      <c r="B214" s="507" t="s">
        <v>2049</v>
      </c>
      <c r="C214" s="507" t="s">
        <v>3760</v>
      </c>
      <c r="D214" s="507" t="s">
        <v>1872</v>
      </c>
      <c r="E214" s="630" t="s">
        <v>3761</v>
      </c>
      <c r="F214" s="630"/>
      <c r="G214" s="631" t="s">
        <v>958</v>
      </c>
      <c r="H214" s="632" t="s">
        <v>536</v>
      </c>
      <c r="I214" s="633"/>
      <c r="J214" s="634" t="s">
        <v>3168</v>
      </c>
      <c r="K214" s="639"/>
      <c r="L214" s="626"/>
      <c r="M214" s="627"/>
      <c r="N214" s="636" t="s">
        <v>3170</v>
      </c>
      <c r="O214" s="636" t="s">
        <v>3762</v>
      </c>
      <c r="P214" s="507" t="s">
        <v>2407</v>
      </c>
      <c r="Q214" s="631"/>
      <c r="S214" s="611"/>
      <c r="T214" s="611"/>
      <c r="U214" s="611"/>
      <c r="V214" s="611"/>
      <c r="W214" s="611"/>
      <c r="X214" s="611"/>
      <c r="Y214" s="611"/>
      <c r="Z214" s="611"/>
      <c r="AA214" s="611"/>
    </row>
    <row r="215" spans="1:27" ht="12" customHeight="1">
      <c r="A215" s="611"/>
      <c r="B215" s="507" t="s">
        <v>2050</v>
      </c>
      <c r="C215" s="507" t="s">
        <v>3762</v>
      </c>
      <c r="D215" s="507" t="s">
        <v>2012</v>
      </c>
      <c r="E215" s="637" t="s">
        <v>1339</v>
      </c>
      <c r="F215" s="637"/>
      <c r="G215" s="631" t="s">
        <v>3887</v>
      </c>
      <c r="H215" s="632" t="s">
        <v>537</v>
      </c>
      <c r="I215" s="638"/>
      <c r="J215" s="634" t="s">
        <v>3169</v>
      </c>
      <c r="K215" s="639"/>
      <c r="L215" s="626"/>
      <c r="M215" s="627"/>
      <c r="N215" s="636" t="s">
        <v>3077</v>
      </c>
      <c r="O215" s="636" t="s">
        <v>3281</v>
      </c>
      <c r="P215" s="507" t="s">
        <v>2408</v>
      </c>
      <c r="Q215" s="631"/>
      <c r="S215" s="611"/>
      <c r="T215" s="611"/>
      <c r="U215" s="611"/>
      <c r="V215" s="611"/>
      <c r="W215" s="611"/>
      <c r="X215" s="611"/>
      <c r="Y215" s="611"/>
      <c r="Z215" s="611"/>
      <c r="AA215" s="611"/>
    </row>
    <row r="216" spans="1:27" ht="12" customHeight="1">
      <c r="A216" s="611"/>
      <c r="B216" s="507" t="s">
        <v>2051</v>
      </c>
      <c r="C216" s="507" t="s">
        <v>3763</v>
      </c>
      <c r="D216" s="507" t="s">
        <v>1872</v>
      </c>
      <c r="E216" s="630" t="s">
        <v>3764</v>
      </c>
      <c r="F216" s="630"/>
      <c r="G216" s="631" t="s">
        <v>959</v>
      </c>
      <c r="H216" s="632" t="s">
        <v>536</v>
      </c>
      <c r="I216" s="633"/>
      <c r="J216" s="634" t="s">
        <v>3171</v>
      </c>
      <c r="K216" s="639"/>
      <c r="L216" s="626"/>
      <c r="M216" s="627"/>
      <c r="N216" s="636" t="s">
        <v>3172</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3765</v>
      </c>
      <c r="D217" s="507" t="s">
        <v>1872</v>
      </c>
      <c r="E217" s="630" t="s">
        <v>3816</v>
      </c>
      <c r="F217" s="630"/>
      <c r="G217" s="631" t="s">
        <v>960</v>
      </c>
      <c r="H217" s="632" t="s">
        <v>536</v>
      </c>
      <c r="I217" s="633"/>
      <c r="J217" s="634" t="s">
        <v>3203</v>
      </c>
      <c r="K217" s="639"/>
      <c r="L217" s="626"/>
      <c r="M217" s="627"/>
      <c r="N217" s="636" t="s">
        <v>3204</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3817</v>
      </c>
      <c r="D218" s="507" t="s">
        <v>2036</v>
      </c>
      <c r="E218" s="637" t="s">
        <v>1340</v>
      </c>
      <c r="F218" s="637"/>
      <c r="G218" s="631" t="s">
        <v>3912</v>
      </c>
      <c r="H218" s="632" t="s">
        <v>537</v>
      </c>
      <c r="I218" s="638"/>
      <c r="J218" s="634" t="s">
        <v>3205</v>
      </c>
      <c r="K218" s="639"/>
      <c r="L218" s="626"/>
      <c r="M218" s="627"/>
      <c r="N218" s="636" t="s">
        <v>3206</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3818</v>
      </c>
      <c r="D219" s="507" t="s">
        <v>1872</v>
      </c>
      <c r="E219" s="630" t="s">
        <v>3819</v>
      </c>
      <c r="F219" s="630"/>
      <c r="G219" s="631" t="s">
        <v>961</v>
      </c>
      <c r="H219" s="632" t="s">
        <v>536</v>
      </c>
      <c r="I219" s="633"/>
      <c r="J219" s="634" t="s">
        <v>3207</v>
      </c>
      <c r="K219" s="639"/>
      <c r="L219" s="626"/>
      <c r="M219" s="627"/>
      <c r="N219" s="636" t="s">
        <v>3208</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3820</v>
      </c>
      <c r="D220" s="507" t="s">
        <v>2036</v>
      </c>
      <c r="E220" s="637" t="s">
        <v>1339</v>
      </c>
      <c r="F220" s="637"/>
      <c r="G220" s="631" t="s">
        <v>3887</v>
      </c>
      <c r="H220" s="632" t="s">
        <v>537</v>
      </c>
      <c r="I220" s="638"/>
      <c r="J220" s="634" t="s">
        <v>3209</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3821</v>
      </c>
      <c r="D221" s="507" t="s">
        <v>2036</v>
      </c>
      <c r="E221" s="637" t="s">
        <v>2021</v>
      </c>
      <c r="F221" s="637"/>
      <c r="G221" s="631" t="s">
        <v>3890</v>
      </c>
      <c r="H221" s="632" t="s">
        <v>537</v>
      </c>
      <c r="I221" s="638"/>
      <c r="J221" s="634" t="s">
        <v>3838</v>
      </c>
      <c r="K221" s="639"/>
      <c r="L221" s="626"/>
      <c r="M221" s="627"/>
      <c r="N221" s="636" t="s">
        <v>3839</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3822</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3082</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3887</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3363</v>
      </c>
      <c r="K225" s="639"/>
      <c r="L225" s="626"/>
      <c r="M225" s="627"/>
      <c r="N225" s="636" t="s">
        <v>3364</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3887</v>
      </c>
      <c r="H226" s="632" t="s">
        <v>537</v>
      </c>
      <c r="I226" s="638"/>
      <c r="J226" s="634" t="s">
        <v>3365</v>
      </c>
      <c r="K226" s="639"/>
      <c r="L226" s="626"/>
      <c r="M226" s="627"/>
      <c r="N226" s="636" t="s">
        <v>3366</v>
      </c>
      <c r="O226" s="636" t="s">
        <v>3373</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3035</v>
      </c>
      <c r="H227" s="632" t="s">
        <v>536</v>
      </c>
      <c r="I227" s="633"/>
      <c r="J227" s="634" t="s">
        <v>3367</v>
      </c>
      <c r="K227" s="639"/>
      <c r="L227" s="626"/>
      <c r="M227" s="627"/>
      <c r="N227" s="507" t="s">
        <v>3866</v>
      </c>
      <c r="O227" s="507" t="s">
        <v>964</v>
      </c>
      <c r="P227" s="902" t="s">
        <v>3242</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3036</v>
      </c>
      <c r="H228" s="632" t="s">
        <v>536</v>
      </c>
      <c r="I228" s="633"/>
      <c r="J228" s="634" t="s">
        <v>3401</v>
      </c>
      <c r="K228" s="639"/>
      <c r="L228" s="626"/>
      <c r="M228" s="627"/>
      <c r="N228" s="636" t="s">
        <v>3368</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3765</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3887</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3037</v>
      </c>
      <c r="H231" s="632" t="s">
        <v>536</v>
      </c>
      <c r="I231" s="633"/>
      <c r="J231" s="634" t="s">
        <v>3263</v>
      </c>
      <c r="K231" s="639"/>
      <c r="L231" s="626"/>
      <c r="M231" s="627"/>
      <c r="N231" s="636" t="s">
        <v>2805</v>
      </c>
      <c r="O231" s="636" t="s">
        <v>3088</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3893</v>
      </c>
      <c r="H232" s="632" t="s">
        <v>537</v>
      </c>
      <c r="I232" s="633"/>
      <c r="J232" s="634" t="s">
        <v>3264</v>
      </c>
      <c r="K232" s="639"/>
      <c r="L232" s="626"/>
      <c r="M232" s="627"/>
      <c r="N232" s="636" t="s">
        <v>1413</v>
      </c>
      <c r="O232" s="636" t="s">
        <v>3901</v>
      </c>
      <c r="P232" s="901"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3691</v>
      </c>
      <c r="K233" s="635"/>
      <c r="L233" s="626"/>
      <c r="M233" s="627"/>
      <c r="N233" s="636" t="s">
        <v>3265</v>
      </c>
      <c r="O233" s="636" t="s">
        <v>3903</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3693</v>
      </c>
      <c r="K234" s="635"/>
      <c r="L234" s="626"/>
      <c r="M234" s="627"/>
      <c r="N234" s="636" t="s">
        <v>3692</v>
      </c>
      <c r="O234" s="636" t="s">
        <v>1725</v>
      </c>
      <c r="P234" s="507" t="s">
        <v>2425</v>
      </c>
      <c r="Q234" s="631"/>
      <c r="S234" s="611"/>
      <c r="T234" s="611"/>
      <c r="U234" s="611"/>
      <c r="V234" s="611"/>
      <c r="W234" s="611"/>
      <c r="X234" s="611"/>
      <c r="Y234" s="611"/>
      <c r="Z234" s="611"/>
      <c r="AA234" s="611"/>
    </row>
    <row r="235" spans="1:27" ht="12" customHeight="1">
      <c r="A235" s="611"/>
      <c r="B235" s="640"/>
      <c r="C235" s="507" t="s">
        <v>3371</v>
      </c>
      <c r="D235" s="507" t="s">
        <v>1872</v>
      </c>
      <c r="E235" s="630" t="s">
        <v>3372</v>
      </c>
      <c r="F235" s="630"/>
      <c r="G235" s="631" t="s">
        <v>2038</v>
      </c>
      <c r="H235" s="632" t="s">
        <v>536</v>
      </c>
      <c r="I235" s="633"/>
      <c r="J235" s="634" t="s">
        <v>3695</v>
      </c>
      <c r="K235" s="635"/>
      <c r="L235" s="626"/>
      <c r="M235" s="627"/>
      <c r="N235" s="507" t="s">
        <v>3867</v>
      </c>
      <c r="O235" s="507" t="s">
        <v>414</v>
      </c>
      <c r="P235" s="902" t="s">
        <v>3242</v>
      </c>
      <c r="Q235" s="631"/>
      <c r="S235" s="611"/>
      <c r="T235" s="611"/>
      <c r="U235" s="611"/>
      <c r="V235" s="611"/>
      <c r="W235" s="611"/>
      <c r="X235" s="611"/>
      <c r="Y235" s="611"/>
      <c r="Z235" s="611"/>
      <c r="AA235" s="611"/>
    </row>
    <row r="236" spans="1:27" ht="12" customHeight="1">
      <c r="A236" s="611"/>
      <c r="B236" s="640"/>
      <c r="C236" s="507" t="s">
        <v>3373</v>
      </c>
      <c r="D236" s="507" t="s">
        <v>1872</v>
      </c>
      <c r="E236" s="630" t="s">
        <v>998</v>
      </c>
      <c r="F236" s="630"/>
      <c r="G236" s="631" t="s">
        <v>2039</v>
      </c>
      <c r="H236" s="632" t="s">
        <v>536</v>
      </c>
      <c r="I236" s="633"/>
      <c r="J236" s="634" t="s">
        <v>3697</v>
      </c>
      <c r="K236" s="635"/>
      <c r="L236" s="626"/>
      <c r="M236" s="627"/>
      <c r="N236" s="636" t="s">
        <v>3694</v>
      </c>
      <c r="O236" s="636" t="s">
        <v>2991</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3698</v>
      </c>
      <c r="K237" s="635"/>
      <c r="L237" s="626"/>
      <c r="M237" s="627"/>
      <c r="N237" s="636" t="s">
        <v>3696</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3887</v>
      </c>
      <c r="H238" s="632" t="s">
        <v>537</v>
      </c>
      <c r="I238" s="638"/>
      <c r="J238" s="634" t="s">
        <v>3355</v>
      </c>
      <c r="K238" s="635"/>
      <c r="L238" s="626"/>
      <c r="M238" s="627"/>
      <c r="N238" s="636" t="s">
        <v>3699</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3400</v>
      </c>
      <c r="F239" s="637"/>
      <c r="G239" s="631" t="s">
        <v>2041</v>
      </c>
      <c r="H239" s="632" t="s">
        <v>537</v>
      </c>
      <c r="I239" s="638"/>
      <c r="J239" s="634" t="s">
        <v>1065</v>
      </c>
      <c r="K239" s="635"/>
      <c r="L239" s="626"/>
      <c r="M239" s="627"/>
      <c r="N239" s="636" t="s">
        <v>3356</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3887</v>
      </c>
      <c r="H240" s="632" t="s">
        <v>537</v>
      </c>
      <c r="I240" s="638"/>
      <c r="J240" s="634" t="s">
        <v>1067</v>
      </c>
      <c r="K240" s="635"/>
      <c r="L240" s="626"/>
      <c r="M240" s="627"/>
      <c r="N240" s="636" t="s">
        <v>1066</v>
      </c>
      <c r="O240" s="636" t="s">
        <v>3757</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3887</v>
      </c>
      <c r="H242" s="632" t="s">
        <v>537</v>
      </c>
      <c r="I242" s="638"/>
      <c r="J242" s="634" t="s">
        <v>1071</v>
      </c>
      <c r="K242" s="635"/>
      <c r="L242" s="626"/>
      <c r="M242" s="627"/>
      <c r="N242" s="636" t="s">
        <v>1070</v>
      </c>
      <c r="O242" s="636" t="s">
        <v>3903</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3346</v>
      </c>
      <c r="K243" s="635"/>
      <c r="L243" s="626"/>
      <c r="M243" s="627"/>
      <c r="N243" s="507" t="s">
        <v>3868</v>
      </c>
      <c r="O243" s="507" t="s">
        <v>3759</v>
      </c>
      <c r="P243" s="902" t="s">
        <v>3242</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3347</v>
      </c>
      <c r="K244" s="635"/>
      <c r="L244" s="626"/>
      <c r="M244" s="627"/>
      <c r="N244" s="636" t="s">
        <v>3348</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3892</v>
      </c>
      <c r="H245" s="632" t="s">
        <v>537</v>
      </c>
      <c r="I245" s="633"/>
      <c r="J245" s="634" t="s">
        <v>3349</v>
      </c>
      <c r="K245" s="635"/>
      <c r="L245" s="626"/>
      <c r="M245" s="627"/>
      <c r="N245" s="636" t="s">
        <v>3350</v>
      </c>
      <c r="O245" s="636" t="s">
        <v>3897</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3402</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3403</v>
      </c>
      <c r="K248" s="635"/>
      <c r="L248" s="626"/>
      <c r="M248" s="627"/>
      <c r="N248" s="636" t="s">
        <v>3478</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3887</v>
      </c>
      <c r="H249" s="632" t="s">
        <v>537</v>
      </c>
      <c r="I249" s="638"/>
      <c r="J249" s="634" t="s">
        <v>3441</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3905</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3580</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3579</v>
      </c>
      <c r="K253" s="635"/>
      <c r="L253" s="626"/>
      <c r="M253" s="627"/>
      <c r="N253" s="636" t="s">
        <v>3628</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3627</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3629</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3887</v>
      </c>
      <c r="H256" s="632" t="s">
        <v>537</v>
      </c>
      <c r="I256" s="638"/>
      <c r="J256" s="634" t="s">
        <v>3630</v>
      </c>
      <c r="K256" s="635"/>
      <c r="L256" s="626"/>
      <c r="M256" s="627"/>
      <c r="N256" s="636" t="s">
        <v>3568</v>
      </c>
      <c r="O256" s="636" t="s">
        <v>3763</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3887</v>
      </c>
      <c r="H257" s="632" t="s">
        <v>537</v>
      </c>
      <c r="I257" s="638"/>
      <c r="J257" s="634" t="s">
        <v>3567</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3897</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3887</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3293</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3890</v>
      </c>
      <c r="H266" s="632" t="s">
        <v>537</v>
      </c>
      <c r="I266" s="638"/>
      <c r="J266" s="634" t="s">
        <v>3429</v>
      </c>
      <c r="K266" s="635"/>
      <c r="L266" s="626"/>
      <c r="M266" s="627"/>
      <c r="N266" s="636" t="s">
        <v>3430</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3431</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3893</v>
      </c>
      <c r="H268" s="632" t="s">
        <v>537</v>
      </c>
      <c r="I268" s="633"/>
      <c r="J268" s="634" t="s">
        <v>3432</v>
      </c>
      <c r="K268" s="635"/>
      <c r="L268" s="626"/>
      <c r="M268" s="627"/>
      <c r="N268" s="636" t="s">
        <v>3434</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3433</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3811</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3893</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3135</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3818</v>
      </c>
      <c r="P278" s="507" t="s">
        <v>2467</v>
      </c>
      <c r="Q278" s="631"/>
      <c r="S278" s="611"/>
      <c r="T278" s="611"/>
      <c r="U278" s="611"/>
      <c r="V278" s="611"/>
      <c r="W278" s="611"/>
      <c r="X278" s="611"/>
      <c r="Y278" s="611"/>
      <c r="Z278" s="611"/>
      <c r="AA278" s="611"/>
    </row>
    <row r="279" spans="1:27" ht="12" customHeight="1">
      <c r="A279" s="611"/>
      <c r="B279" s="640"/>
      <c r="C279" s="507" t="s">
        <v>2938</v>
      </c>
      <c r="D279" s="507" t="s">
        <v>2036</v>
      </c>
      <c r="E279" s="637" t="s">
        <v>1340</v>
      </c>
      <c r="F279" s="637"/>
      <c r="G279" s="631" t="s">
        <v>3912</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2939</v>
      </c>
      <c r="D280" s="507" t="s">
        <v>1872</v>
      </c>
      <c r="E280" s="630" t="s">
        <v>13</v>
      </c>
      <c r="F280" s="630"/>
      <c r="G280" s="631" t="s">
        <v>3892</v>
      </c>
      <c r="H280" s="632" t="s">
        <v>537</v>
      </c>
      <c r="I280" s="633"/>
      <c r="J280" s="634" t="s">
        <v>302</v>
      </c>
      <c r="K280" s="635"/>
      <c r="L280" s="626"/>
      <c r="M280" s="627"/>
      <c r="N280" s="636" t="s">
        <v>3156</v>
      </c>
      <c r="O280" s="636" t="s">
        <v>415</v>
      </c>
      <c r="P280" s="507" t="s">
        <v>2469</v>
      </c>
      <c r="Q280" s="631"/>
      <c r="S280" s="611"/>
      <c r="T280" s="611"/>
      <c r="U280" s="611"/>
      <c r="V280" s="611"/>
      <c r="W280" s="611"/>
      <c r="X280" s="611"/>
      <c r="Y280" s="611"/>
      <c r="Z280" s="611"/>
      <c r="AA280" s="611"/>
    </row>
    <row r="281" spans="1:27" ht="12" customHeight="1">
      <c r="A281" s="611"/>
      <c r="B281" s="640"/>
      <c r="C281" s="507" t="s">
        <v>2940</v>
      </c>
      <c r="D281" s="507" t="s">
        <v>2036</v>
      </c>
      <c r="E281" s="637" t="s">
        <v>1344</v>
      </c>
      <c r="F281" s="637"/>
      <c r="G281" s="631" t="s">
        <v>1051</v>
      </c>
      <c r="H281" s="632" t="s">
        <v>537</v>
      </c>
      <c r="I281" s="638"/>
      <c r="J281" s="634" t="s">
        <v>304</v>
      </c>
      <c r="K281" s="635"/>
      <c r="L281" s="626"/>
      <c r="M281" s="627"/>
      <c r="N281" s="636" t="s">
        <v>3158</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3160</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3155</v>
      </c>
      <c r="K283" s="635"/>
      <c r="L283" s="626"/>
      <c r="M283" s="627"/>
      <c r="N283" s="636" t="s">
        <v>3162</v>
      </c>
      <c r="O283" s="636" t="s">
        <v>3899</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3134</v>
      </c>
      <c r="F284" s="637"/>
      <c r="G284" s="631" t="s">
        <v>1054</v>
      </c>
      <c r="H284" s="632" t="s">
        <v>537</v>
      </c>
      <c r="I284" s="638"/>
      <c r="J284" s="634" t="s">
        <v>3157</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3159</v>
      </c>
      <c r="K285" s="635"/>
      <c r="L285" s="626"/>
      <c r="M285" s="627"/>
      <c r="N285" s="507" t="s">
        <v>3870</v>
      </c>
      <c r="O285" s="507" t="s">
        <v>3087</v>
      </c>
      <c r="P285" s="902" t="s">
        <v>3242</v>
      </c>
      <c r="Q285" s="631"/>
      <c r="S285" s="611"/>
      <c r="T285" s="611"/>
      <c r="U285" s="611"/>
      <c r="V285" s="611"/>
      <c r="W285" s="611"/>
      <c r="X285" s="611"/>
      <c r="Y285" s="611"/>
      <c r="Z285" s="611"/>
      <c r="AA285" s="611"/>
    </row>
    <row r="286" spans="1:27" ht="12" customHeight="1">
      <c r="A286" s="611"/>
      <c r="B286" s="640"/>
      <c r="C286" s="507" t="s">
        <v>3897</v>
      </c>
      <c r="D286" s="507" t="s">
        <v>2036</v>
      </c>
      <c r="E286" s="637" t="s">
        <v>3898</v>
      </c>
      <c r="F286" s="637"/>
      <c r="G286" s="631" t="s">
        <v>1056</v>
      </c>
      <c r="H286" s="632" t="s">
        <v>536</v>
      </c>
      <c r="I286" s="638"/>
      <c r="J286" s="634" t="s">
        <v>3161</v>
      </c>
      <c r="K286" s="635"/>
      <c r="L286" s="626"/>
      <c r="M286" s="627"/>
      <c r="N286" s="636" t="s">
        <v>3164</v>
      </c>
      <c r="O286" s="636" t="s">
        <v>257</v>
      </c>
      <c r="P286" s="507" t="s">
        <v>2474</v>
      </c>
      <c r="Q286" s="631"/>
      <c r="S286" s="611"/>
      <c r="T286" s="611"/>
      <c r="U286" s="611"/>
      <c r="V286" s="611"/>
      <c r="W286" s="611"/>
      <c r="X286" s="611"/>
      <c r="Y286" s="611"/>
      <c r="Z286" s="611"/>
      <c r="AA286" s="611"/>
    </row>
    <row r="287" spans="1:27" ht="12" customHeight="1">
      <c r="A287" s="611"/>
      <c r="B287" s="640"/>
      <c r="C287" s="507" t="s">
        <v>3899</v>
      </c>
      <c r="D287" s="507" t="s">
        <v>2012</v>
      </c>
      <c r="E287" s="630" t="s">
        <v>3900</v>
      </c>
      <c r="F287" s="630"/>
      <c r="G287" s="631" t="s">
        <v>3028</v>
      </c>
      <c r="H287" s="632" t="s">
        <v>537</v>
      </c>
      <c r="I287" s="633"/>
      <c r="J287" s="634" t="s">
        <v>3163</v>
      </c>
      <c r="K287" s="635"/>
      <c r="L287" s="626"/>
      <c r="M287" s="627"/>
      <c r="N287" s="636" t="s">
        <v>3166</v>
      </c>
      <c r="O287" s="636" t="s">
        <v>257</v>
      </c>
      <c r="P287" s="507" t="s">
        <v>2475</v>
      </c>
      <c r="Q287" s="631"/>
      <c r="S287" s="611"/>
      <c r="T287" s="611"/>
      <c r="U287" s="611"/>
      <c r="V287" s="611"/>
      <c r="W287" s="611"/>
      <c r="X287" s="611"/>
      <c r="Y287" s="611"/>
      <c r="Z287" s="611"/>
      <c r="AA287" s="611"/>
    </row>
    <row r="288" spans="1:27" ht="12" customHeight="1">
      <c r="A288" s="611"/>
      <c r="B288" s="640"/>
      <c r="C288" s="507" t="s">
        <v>3901</v>
      </c>
      <c r="D288" s="507" t="s">
        <v>2036</v>
      </c>
      <c r="E288" s="637" t="s">
        <v>217</v>
      </c>
      <c r="F288" s="637"/>
      <c r="G288" s="631" t="s">
        <v>2699</v>
      </c>
      <c r="H288" s="632" t="s">
        <v>537</v>
      </c>
      <c r="I288" s="638"/>
      <c r="J288" s="634" t="s">
        <v>3165</v>
      </c>
      <c r="K288" s="635"/>
      <c r="L288" s="626"/>
      <c r="M288" s="627"/>
      <c r="N288" s="636" t="s">
        <v>1021</v>
      </c>
      <c r="O288" s="636" t="s">
        <v>3087</v>
      </c>
      <c r="P288" s="507" t="s">
        <v>2476</v>
      </c>
      <c r="Q288" s="631"/>
      <c r="S288" s="611"/>
      <c r="T288" s="611"/>
      <c r="U288" s="611"/>
      <c r="V288" s="611"/>
      <c r="W288" s="611"/>
      <c r="X288" s="611"/>
      <c r="Y288" s="611"/>
      <c r="Z288" s="611"/>
      <c r="AA288" s="611"/>
    </row>
    <row r="289" spans="1:27" ht="12" customHeight="1">
      <c r="A289" s="611"/>
      <c r="B289" s="640"/>
      <c r="C289" s="507" t="s">
        <v>3902</v>
      </c>
      <c r="D289" s="507" t="s">
        <v>2036</v>
      </c>
      <c r="E289" s="637" t="s">
        <v>1339</v>
      </c>
      <c r="F289" s="637"/>
      <c r="G289" s="631" t="s">
        <v>3887</v>
      </c>
      <c r="H289" s="632" t="s">
        <v>537</v>
      </c>
      <c r="I289" s="638"/>
      <c r="J289" s="634" t="s">
        <v>1020</v>
      </c>
      <c r="K289" s="635"/>
      <c r="L289" s="626"/>
      <c r="M289" s="627"/>
      <c r="N289" s="636" t="s">
        <v>3477</v>
      </c>
      <c r="O289" s="636" t="s">
        <v>137</v>
      </c>
      <c r="P289" s="507" t="s">
        <v>2477</v>
      </c>
      <c r="Q289" s="631"/>
      <c r="S289" s="611"/>
      <c r="T289" s="611"/>
      <c r="U289" s="611"/>
      <c r="V289" s="611"/>
      <c r="W289" s="611"/>
      <c r="X289" s="611"/>
      <c r="Y289" s="611"/>
      <c r="Z289" s="611"/>
      <c r="AA289" s="611"/>
    </row>
    <row r="290" spans="1:27" ht="12" customHeight="1">
      <c r="A290" s="611"/>
      <c r="B290" s="640"/>
      <c r="C290" s="507" t="s">
        <v>3903</v>
      </c>
      <c r="D290" s="507" t="s">
        <v>2036</v>
      </c>
      <c r="E290" s="630" t="s">
        <v>3135</v>
      </c>
      <c r="F290" s="630"/>
      <c r="G290" s="631" t="s">
        <v>956</v>
      </c>
      <c r="H290" s="632" t="s">
        <v>537</v>
      </c>
      <c r="I290" s="633"/>
      <c r="J290" s="634" t="s">
        <v>3475</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3904</v>
      </c>
      <c r="D291" s="507" t="s">
        <v>2036</v>
      </c>
      <c r="E291" s="630" t="s">
        <v>3135</v>
      </c>
      <c r="F291" s="630"/>
      <c r="G291" s="631" t="s">
        <v>956</v>
      </c>
      <c r="H291" s="632" t="s">
        <v>537</v>
      </c>
      <c r="I291" s="633"/>
      <c r="J291" s="634" t="s">
        <v>3476</v>
      </c>
      <c r="K291" s="635"/>
      <c r="L291" s="626"/>
      <c r="M291" s="627"/>
      <c r="N291" s="636" t="s">
        <v>1927</v>
      </c>
      <c r="O291" s="636" t="s">
        <v>3373</v>
      </c>
      <c r="P291" s="507" t="s">
        <v>2479</v>
      </c>
      <c r="Q291" s="631"/>
      <c r="S291" s="611"/>
      <c r="T291" s="611"/>
      <c r="U291" s="611"/>
      <c r="V291" s="611"/>
      <c r="W291" s="611"/>
      <c r="X291" s="611"/>
      <c r="Y291" s="611"/>
      <c r="Z291" s="611"/>
      <c r="AA291" s="611"/>
    </row>
    <row r="292" spans="1:27" ht="12" customHeight="1">
      <c r="A292" s="611"/>
      <c r="B292" s="640"/>
      <c r="C292" s="507" t="s">
        <v>3905</v>
      </c>
      <c r="D292" s="507" t="s">
        <v>2012</v>
      </c>
      <c r="E292" s="637" t="s">
        <v>1339</v>
      </c>
      <c r="F292" s="637"/>
      <c r="G292" s="631" t="s">
        <v>3887</v>
      </c>
      <c r="H292" s="632" t="s">
        <v>537</v>
      </c>
      <c r="I292" s="638"/>
      <c r="J292" s="634" t="s">
        <v>1924</v>
      </c>
      <c r="K292" s="635"/>
      <c r="L292" s="626"/>
      <c r="M292" s="627"/>
      <c r="N292" s="636" t="s">
        <v>3759</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3029</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3887</v>
      </c>
      <c r="H294" s="632" t="s">
        <v>537</v>
      </c>
      <c r="I294" s="638"/>
      <c r="J294" s="634" t="s">
        <v>1928</v>
      </c>
      <c r="K294" s="635"/>
      <c r="L294" s="626"/>
      <c r="M294" s="627"/>
      <c r="N294" s="636" t="s">
        <v>3773</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3030</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3887</v>
      </c>
      <c r="H296" s="632" t="s">
        <v>537</v>
      </c>
      <c r="I296" s="638"/>
      <c r="J296" s="634" t="s">
        <v>1931</v>
      </c>
      <c r="K296" s="635"/>
      <c r="L296" s="626"/>
      <c r="M296" s="627"/>
      <c r="N296" s="636" t="s">
        <v>95</v>
      </c>
      <c r="O296" s="636" t="s">
        <v>3291</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3031</v>
      </c>
      <c r="H297" s="632" t="s">
        <v>536</v>
      </c>
      <c r="I297" s="633"/>
      <c r="J297" s="634" t="s">
        <v>3774</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3032</v>
      </c>
      <c r="H298" s="632" t="s">
        <v>536</v>
      </c>
      <c r="I298" s="638"/>
      <c r="J298" s="634" t="s">
        <v>92</v>
      </c>
      <c r="K298" s="635"/>
      <c r="L298" s="626"/>
      <c r="M298" s="627"/>
      <c r="N298" s="636" t="s">
        <v>1889</v>
      </c>
      <c r="O298" s="636" t="s">
        <v>3026</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3033</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901"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3291</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3912</v>
      </c>
      <c r="H303" s="632" t="s">
        <v>537</v>
      </c>
      <c r="I303" s="638"/>
      <c r="J303" s="634" t="s">
        <v>1890</v>
      </c>
      <c r="K303" s="635"/>
      <c r="L303" s="626"/>
      <c r="M303" s="627"/>
      <c r="N303" s="636" t="s">
        <v>3765</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3887</v>
      </c>
      <c r="H304" s="632" t="s">
        <v>537</v>
      </c>
      <c r="I304" s="638"/>
      <c r="J304" s="634" t="s">
        <v>1892</v>
      </c>
      <c r="K304" s="635"/>
      <c r="L304" s="626"/>
      <c r="M304" s="627"/>
      <c r="N304" s="636" t="s">
        <v>217</v>
      </c>
      <c r="O304" s="636" t="s">
        <v>3901</v>
      </c>
      <c r="P304" s="901"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3275</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3276</v>
      </c>
      <c r="D306" s="507" t="s">
        <v>1872</v>
      </c>
      <c r="E306" s="630" t="s">
        <v>3277</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3278</v>
      </c>
      <c r="D308" s="507" t="s">
        <v>1872</v>
      </c>
      <c r="E308" s="637" t="s">
        <v>3279</v>
      </c>
      <c r="F308" s="637"/>
      <c r="G308" s="631" t="s">
        <v>670</v>
      </c>
      <c r="H308" s="632" t="s">
        <v>536</v>
      </c>
      <c r="I308" s="638"/>
      <c r="J308" s="634" t="s">
        <v>1484</v>
      </c>
      <c r="K308" s="635"/>
      <c r="L308" s="626"/>
      <c r="M308" s="627"/>
      <c r="N308" s="507" t="s">
        <v>3871</v>
      </c>
      <c r="O308" s="507" t="s">
        <v>3759</v>
      </c>
      <c r="P308" s="902" t="s">
        <v>3242</v>
      </c>
      <c r="Q308" s="611"/>
      <c r="S308" s="611"/>
      <c r="T308" s="611"/>
      <c r="U308" s="611"/>
      <c r="V308" s="611"/>
      <c r="W308" s="611"/>
      <c r="X308" s="611"/>
      <c r="Y308" s="611"/>
      <c r="Z308" s="611"/>
      <c r="AA308" s="611"/>
    </row>
    <row r="309" spans="1:27" ht="12" customHeight="1">
      <c r="A309" s="611"/>
      <c r="B309" s="640"/>
      <c r="C309" s="507" t="s">
        <v>3280</v>
      </c>
      <c r="D309" s="507" t="s">
        <v>2036</v>
      </c>
      <c r="E309" s="637" t="s">
        <v>1339</v>
      </c>
      <c r="F309" s="637"/>
      <c r="G309" s="631" t="s">
        <v>3887</v>
      </c>
      <c r="H309" s="632" t="s">
        <v>537</v>
      </c>
      <c r="I309" s="638"/>
      <c r="J309" s="634" t="s">
        <v>1485</v>
      </c>
      <c r="K309" s="635"/>
      <c r="L309" s="626"/>
      <c r="M309" s="627"/>
      <c r="N309" s="636" t="s">
        <v>3241</v>
      </c>
      <c r="O309" s="636" t="s">
        <v>1741</v>
      </c>
      <c r="P309" s="507" t="s">
        <v>2494</v>
      </c>
      <c r="Q309" s="631"/>
      <c r="S309" s="611"/>
      <c r="T309" s="611"/>
      <c r="U309" s="611"/>
      <c r="V309" s="611"/>
      <c r="W309" s="611"/>
      <c r="X309" s="611"/>
      <c r="Y309" s="611"/>
      <c r="Z309" s="611"/>
      <c r="AA309" s="611"/>
    </row>
    <row r="310" spans="1:27" ht="12" customHeight="1">
      <c r="A310" s="611"/>
      <c r="B310" s="640"/>
      <c r="C310" s="507" t="s">
        <v>3281</v>
      </c>
      <c r="D310" s="507" t="s">
        <v>2012</v>
      </c>
      <c r="E310" s="637" t="s">
        <v>3282</v>
      </c>
      <c r="F310" s="637"/>
      <c r="G310" s="631" t="s">
        <v>284</v>
      </c>
      <c r="H310" s="632" t="s">
        <v>536</v>
      </c>
      <c r="I310" s="633"/>
      <c r="J310" s="634" t="s">
        <v>1487</v>
      </c>
      <c r="K310" s="635"/>
      <c r="L310" s="626"/>
      <c r="M310" s="627"/>
      <c r="N310" s="636" t="s">
        <v>3152</v>
      </c>
      <c r="O310" s="636" t="s">
        <v>2662</v>
      </c>
      <c r="P310" s="507" t="s">
        <v>2495</v>
      </c>
      <c r="Q310" s="631"/>
      <c r="S310" s="611"/>
      <c r="T310" s="611"/>
      <c r="U310" s="611"/>
      <c r="V310" s="611"/>
      <c r="W310" s="611"/>
      <c r="X310" s="611"/>
      <c r="Y310" s="611"/>
      <c r="Z310" s="611"/>
      <c r="AA310" s="611"/>
    </row>
    <row r="311" spans="1:27" ht="12" customHeight="1">
      <c r="A311" s="611"/>
      <c r="B311" s="640"/>
      <c r="C311" s="507" t="s">
        <v>3283</v>
      </c>
      <c r="D311" s="507" t="s">
        <v>1872</v>
      </c>
      <c r="E311" s="630" t="s">
        <v>3284</v>
      </c>
      <c r="F311" s="630"/>
      <c r="G311" s="631" t="s">
        <v>2134</v>
      </c>
      <c r="H311" s="632" t="s">
        <v>536</v>
      </c>
      <c r="I311" s="633"/>
      <c r="J311" s="634" t="s">
        <v>1489</v>
      </c>
      <c r="K311" s="635"/>
      <c r="L311" s="626"/>
      <c r="M311" s="627"/>
      <c r="N311" s="636" t="s">
        <v>3154</v>
      </c>
      <c r="O311" s="636" t="s">
        <v>3822</v>
      </c>
      <c r="P311" s="507" t="s">
        <v>2496</v>
      </c>
      <c r="Q311" s="631"/>
      <c r="S311" s="611"/>
      <c r="T311" s="611"/>
      <c r="U311" s="611"/>
      <c r="V311" s="611"/>
      <c r="W311" s="611"/>
      <c r="X311" s="611"/>
      <c r="Y311" s="611"/>
      <c r="Z311" s="611"/>
      <c r="AA311" s="611"/>
    </row>
    <row r="312" spans="1:27" ht="12" customHeight="1">
      <c r="A312" s="611"/>
      <c r="B312" s="640"/>
      <c r="C312" s="507" t="s">
        <v>3285</v>
      </c>
      <c r="D312" s="507" t="s">
        <v>1872</v>
      </c>
      <c r="E312" s="630" t="s">
        <v>3286</v>
      </c>
      <c r="F312" s="630"/>
      <c r="G312" s="631" t="s">
        <v>2135</v>
      </c>
      <c r="H312" s="632" t="s">
        <v>536</v>
      </c>
      <c r="I312" s="633"/>
      <c r="J312" s="634" t="s">
        <v>3239</v>
      </c>
      <c r="K312" s="635"/>
      <c r="L312" s="626"/>
      <c r="M312" s="627"/>
      <c r="N312" s="636" t="s">
        <v>1414</v>
      </c>
      <c r="O312" s="636" t="s">
        <v>413</v>
      </c>
      <c r="P312" s="901" t="s">
        <v>1412</v>
      </c>
      <c r="Q312" s="611"/>
      <c r="S312" s="611"/>
      <c r="T312" s="611"/>
      <c r="U312" s="611"/>
      <c r="V312" s="611"/>
      <c r="W312" s="611"/>
      <c r="X312" s="611"/>
      <c r="Y312" s="611"/>
      <c r="Z312" s="611"/>
      <c r="AA312" s="611"/>
    </row>
    <row r="313" spans="1:27" ht="12" customHeight="1">
      <c r="A313" s="611"/>
      <c r="B313" s="640"/>
      <c r="C313" s="507" t="s">
        <v>3287</v>
      </c>
      <c r="D313" s="507" t="s">
        <v>2036</v>
      </c>
      <c r="E313" s="630" t="s">
        <v>3288</v>
      </c>
      <c r="F313" s="630"/>
      <c r="G313" s="631" t="s">
        <v>2136</v>
      </c>
      <c r="H313" s="632" t="s">
        <v>536</v>
      </c>
      <c r="I313" s="633"/>
      <c r="J313" s="634" t="s">
        <v>3240</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3289</v>
      </c>
      <c r="D314" s="507" t="s">
        <v>2036</v>
      </c>
      <c r="E314" s="630" t="s">
        <v>3290</v>
      </c>
      <c r="F314" s="630"/>
      <c r="G314" s="631" t="s">
        <v>3093</v>
      </c>
      <c r="H314" s="632" t="s">
        <v>536</v>
      </c>
      <c r="I314" s="633"/>
      <c r="J314" s="634" t="s">
        <v>3151</v>
      </c>
      <c r="K314" s="635"/>
      <c r="L314" s="626"/>
      <c r="M314" s="627"/>
      <c r="N314" s="507" t="s">
        <v>3872</v>
      </c>
      <c r="O314" s="507" t="s">
        <v>2028</v>
      </c>
      <c r="P314" s="902" t="s">
        <v>3242</v>
      </c>
      <c r="Q314" s="631"/>
      <c r="S314" s="611"/>
      <c r="T314" s="611"/>
      <c r="U314" s="611"/>
      <c r="V314" s="611"/>
      <c r="W314" s="611"/>
      <c r="X314" s="611"/>
      <c r="Y314" s="611"/>
      <c r="Z314" s="611"/>
      <c r="AA314" s="611"/>
    </row>
    <row r="315" spans="1:27" ht="12" customHeight="1">
      <c r="A315" s="611"/>
      <c r="B315" s="640"/>
      <c r="C315" s="507" t="s">
        <v>3291</v>
      </c>
      <c r="D315" s="507" t="s">
        <v>1872</v>
      </c>
      <c r="E315" s="630" t="s">
        <v>3292</v>
      </c>
      <c r="F315" s="630"/>
      <c r="G315" s="631" t="s">
        <v>3094</v>
      </c>
      <c r="H315" s="632" t="s">
        <v>536</v>
      </c>
      <c r="I315" s="633"/>
      <c r="J315" s="634" t="s">
        <v>3153</v>
      </c>
      <c r="K315" s="635"/>
      <c r="L315" s="626"/>
      <c r="M315" s="627"/>
      <c r="N315" s="636" t="s">
        <v>934</v>
      </c>
      <c r="O315" s="636" t="s">
        <v>3902</v>
      </c>
      <c r="P315" s="507" t="s">
        <v>2498</v>
      </c>
      <c r="Q315" s="611"/>
      <c r="S315" s="611"/>
      <c r="T315" s="611"/>
      <c r="U315" s="611"/>
      <c r="V315" s="611"/>
      <c r="W315" s="611"/>
      <c r="X315" s="611"/>
      <c r="Y315" s="611"/>
      <c r="Z315" s="611"/>
      <c r="AA315" s="611"/>
    </row>
    <row r="316" spans="1:27" ht="12" customHeight="1">
      <c r="A316" s="611"/>
      <c r="B316" s="640"/>
      <c r="C316" s="507" t="s">
        <v>3293</v>
      </c>
      <c r="D316" s="507" t="s">
        <v>2036</v>
      </c>
      <c r="E316" s="630" t="s">
        <v>1461</v>
      </c>
      <c r="F316" s="630"/>
      <c r="G316" s="631" t="s">
        <v>3095</v>
      </c>
      <c r="H316" s="632" t="s">
        <v>536</v>
      </c>
      <c r="I316" s="633"/>
      <c r="J316" s="634" t="s">
        <v>930</v>
      </c>
      <c r="K316" s="635"/>
      <c r="L316" s="626"/>
      <c r="M316" s="627"/>
      <c r="N316" s="636" t="s">
        <v>3821</v>
      </c>
      <c r="O316" s="636" t="s">
        <v>3904</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3096</v>
      </c>
      <c r="H317" s="632" t="s">
        <v>536</v>
      </c>
      <c r="I317" s="638"/>
      <c r="J317" s="634" t="s">
        <v>931</v>
      </c>
      <c r="K317" s="635"/>
      <c r="L317" s="626"/>
      <c r="M317" s="627"/>
      <c r="N317" s="636" t="s">
        <v>938</v>
      </c>
      <c r="O317" s="636" t="s">
        <v>3289</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3097</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2979</v>
      </c>
      <c r="F320" s="637"/>
      <c r="G320" s="631" t="s">
        <v>1810</v>
      </c>
      <c r="H320" s="632" t="s">
        <v>536</v>
      </c>
      <c r="I320" s="638"/>
      <c r="J320" s="634" t="s">
        <v>936</v>
      </c>
      <c r="K320" s="635"/>
      <c r="L320" s="626"/>
      <c r="M320" s="627"/>
      <c r="N320" s="636" t="s">
        <v>843</v>
      </c>
      <c r="O320" s="636" t="s">
        <v>216</v>
      </c>
      <c r="P320" s="901" t="s">
        <v>1412</v>
      </c>
      <c r="Q320" s="631"/>
      <c r="S320" s="611"/>
      <c r="T320" s="611"/>
      <c r="U320" s="611"/>
      <c r="V320" s="611"/>
      <c r="W320" s="611"/>
      <c r="X320" s="611"/>
      <c r="Y320" s="611"/>
      <c r="Z320" s="611"/>
      <c r="AA320" s="611"/>
    </row>
    <row r="321" spans="1:27" ht="12" customHeight="1">
      <c r="A321" s="611"/>
      <c r="B321" s="640"/>
      <c r="C321" s="507" t="s">
        <v>2980</v>
      </c>
      <c r="D321" s="507" t="s">
        <v>1872</v>
      </c>
      <c r="E321" s="637" t="s">
        <v>2981</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2982</v>
      </c>
      <c r="D322" s="507" t="s">
        <v>2012</v>
      </c>
      <c r="E322" s="637" t="s">
        <v>2983</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2984</v>
      </c>
      <c r="D323" s="507" t="s">
        <v>1872</v>
      </c>
      <c r="E323" s="637" t="s">
        <v>2985</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2986</v>
      </c>
      <c r="D324" s="507" t="s">
        <v>2036</v>
      </c>
      <c r="E324" s="630" t="s">
        <v>2987</v>
      </c>
      <c r="F324" s="630"/>
      <c r="G324" s="631" t="s">
        <v>1814</v>
      </c>
      <c r="H324" s="632" t="s">
        <v>536</v>
      </c>
      <c r="I324" s="638"/>
      <c r="J324" s="634" t="s">
        <v>842</v>
      </c>
      <c r="K324" s="635"/>
      <c r="L324" s="626"/>
      <c r="M324" s="627"/>
      <c r="N324" s="636" t="s">
        <v>3042</v>
      </c>
      <c r="O324" s="636" t="s">
        <v>3373</v>
      </c>
      <c r="P324" s="507" t="s">
        <v>2506</v>
      </c>
      <c r="Q324" s="631"/>
      <c r="S324" s="611"/>
      <c r="T324" s="611"/>
      <c r="U324" s="611"/>
      <c r="V324" s="611"/>
      <c r="W324" s="611"/>
      <c r="X324" s="611"/>
      <c r="Y324" s="611"/>
      <c r="Z324" s="611"/>
      <c r="AA324" s="611"/>
    </row>
    <row r="325" spans="1:27" ht="12" customHeight="1">
      <c r="A325" s="611"/>
      <c r="B325" s="640"/>
      <c r="C325" s="507" t="s">
        <v>2988</v>
      </c>
      <c r="D325" s="507" t="s">
        <v>1872</v>
      </c>
      <c r="E325" s="637" t="s">
        <v>2989</v>
      </c>
      <c r="F325" s="637"/>
      <c r="G325" s="631" t="s">
        <v>1815</v>
      </c>
      <c r="H325" s="632" t="s">
        <v>536</v>
      </c>
      <c r="I325" s="638"/>
      <c r="J325" s="634" t="s">
        <v>1799</v>
      </c>
      <c r="K325" s="635"/>
      <c r="L325" s="626"/>
      <c r="M325" s="627"/>
      <c r="N325" s="636" t="s">
        <v>3044</v>
      </c>
      <c r="O325" s="636" t="s">
        <v>3905</v>
      </c>
      <c r="P325" s="507" t="s">
        <v>2507</v>
      </c>
      <c r="Q325" s="631"/>
      <c r="S325" s="611"/>
      <c r="T325" s="611"/>
      <c r="U325" s="611"/>
      <c r="V325" s="611"/>
      <c r="W325" s="611"/>
      <c r="X325" s="611"/>
      <c r="Y325" s="611"/>
      <c r="Z325" s="611"/>
      <c r="AA325" s="611"/>
    </row>
    <row r="326" spans="1:27" ht="12" customHeight="1">
      <c r="A326" s="611"/>
      <c r="B326" s="640"/>
      <c r="C326" s="507" t="s">
        <v>2990</v>
      </c>
      <c r="D326" s="507" t="s">
        <v>2036</v>
      </c>
      <c r="E326" s="637" t="s">
        <v>2021</v>
      </c>
      <c r="F326" s="637"/>
      <c r="G326" s="631" t="s">
        <v>3890</v>
      </c>
      <c r="H326" s="632" t="s">
        <v>537</v>
      </c>
      <c r="I326" s="638"/>
      <c r="J326" s="634" t="s">
        <v>1236</v>
      </c>
      <c r="K326" s="635"/>
      <c r="L326" s="626"/>
      <c r="M326" s="627"/>
      <c r="N326" s="636" t="s">
        <v>431</v>
      </c>
      <c r="O326" s="636" t="s">
        <v>3026</v>
      </c>
      <c r="P326" s="507" t="s">
        <v>2508</v>
      </c>
      <c r="Q326" s="631"/>
      <c r="S326" s="611"/>
      <c r="T326" s="611"/>
      <c r="U326" s="611"/>
      <c r="V326" s="611"/>
      <c r="W326" s="611"/>
      <c r="X326" s="611"/>
      <c r="Y326" s="611"/>
      <c r="Z326" s="611"/>
      <c r="AA326" s="611"/>
    </row>
    <row r="327" spans="1:27" ht="12" customHeight="1">
      <c r="A327" s="611"/>
      <c r="B327" s="640"/>
      <c r="C327" s="507" t="s">
        <v>2991</v>
      </c>
      <c r="D327" s="507" t="s">
        <v>2012</v>
      </c>
      <c r="E327" s="637" t="s">
        <v>2992</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3085</v>
      </c>
      <c r="D328" s="507" t="s">
        <v>2036</v>
      </c>
      <c r="E328" s="630" t="s">
        <v>3086</v>
      </c>
      <c r="F328" s="630"/>
      <c r="G328" s="631" t="s">
        <v>1817</v>
      </c>
      <c r="H328" s="632" t="s">
        <v>536</v>
      </c>
      <c r="I328" s="638"/>
      <c r="J328" s="634" t="s">
        <v>3041</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3087</v>
      </c>
      <c r="D329" s="507" t="s">
        <v>2012</v>
      </c>
      <c r="E329" s="637" t="s">
        <v>2271</v>
      </c>
      <c r="F329" s="637"/>
      <c r="G329" s="631" t="s">
        <v>2697</v>
      </c>
      <c r="H329" s="632" t="s">
        <v>537</v>
      </c>
      <c r="I329" s="638"/>
      <c r="J329" s="634" t="s">
        <v>3043</v>
      </c>
      <c r="K329" s="635"/>
      <c r="L329" s="626"/>
      <c r="M329" s="627"/>
      <c r="N329" s="636" t="s">
        <v>437</v>
      </c>
      <c r="O329" s="636" t="s">
        <v>3634</v>
      </c>
      <c r="P329" s="507" t="s">
        <v>2511</v>
      </c>
      <c r="Q329" s="631"/>
      <c r="S329" s="611"/>
      <c r="T329" s="611"/>
      <c r="U329" s="611"/>
      <c r="V329" s="611"/>
      <c r="W329" s="611"/>
      <c r="X329" s="611"/>
      <c r="Y329" s="611"/>
      <c r="Z329" s="611"/>
      <c r="AA329" s="611"/>
    </row>
    <row r="330" spans="1:27" ht="12" customHeight="1">
      <c r="A330" s="611"/>
      <c r="B330" s="640"/>
      <c r="C330" s="507" t="s">
        <v>3088</v>
      </c>
      <c r="D330" s="507" t="s">
        <v>2036</v>
      </c>
      <c r="E330" s="637" t="s">
        <v>1339</v>
      </c>
      <c r="F330" s="637"/>
      <c r="G330" s="631" t="s">
        <v>3887</v>
      </c>
      <c r="H330" s="632" t="s">
        <v>537</v>
      </c>
      <c r="I330" s="638"/>
      <c r="J330" s="634" t="s">
        <v>430</v>
      </c>
      <c r="K330" s="635"/>
      <c r="L330" s="626"/>
      <c r="M330" s="627"/>
      <c r="N330" s="636" t="s">
        <v>439</v>
      </c>
      <c r="O330" s="636" t="s">
        <v>2939</v>
      </c>
      <c r="P330" s="507" t="s">
        <v>2512</v>
      </c>
      <c r="Q330" s="631"/>
      <c r="S330" s="611"/>
      <c r="T330" s="611"/>
      <c r="U330" s="611"/>
      <c r="V330" s="611"/>
      <c r="W330" s="611"/>
      <c r="X330" s="611"/>
      <c r="Y330" s="611"/>
      <c r="Z330" s="611"/>
      <c r="AA330" s="611"/>
    </row>
    <row r="331" spans="1:27" ht="12" customHeight="1">
      <c r="A331" s="611"/>
      <c r="B331" s="640"/>
      <c r="C331" s="507" t="s">
        <v>3089</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3013</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3259</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3285</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3563</v>
      </c>
      <c r="H336" s="632" t="s">
        <v>536</v>
      </c>
      <c r="I336" s="638"/>
      <c r="J336" s="634" t="s">
        <v>3012</v>
      </c>
      <c r="K336" s="635"/>
      <c r="L336" s="626"/>
      <c r="M336" s="627"/>
      <c r="N336" s="636" t="s">
        <v>211</v>
      </c>
      <c r="O336" s="636" t="s">
        <v>2938</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3564</v>
      </c>
      <c r="H337" s="632" t="s">
        <v>536</v>
      </c>
      <c r="I337" s="633"/>
      <c r="J337" s="634" t="s">
        <v>3014</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3026</v>
      </c>
      <c r="D338" s="507" t="s">
        <v>2012</v>
      </c>
      <c r="E338" s="630" t="s">
        <v>431</v>
      </c>
      <c r="F338" s="630"/>
      <c r="G338" s="631" t="s">
        <v>3565</v>
      </c>
      <c r="H338" s="632" t="s">
        <v>537</v>
      </c>
      <c r="I338" s="638"/>
      <c r="J338" s="634" t="s">
        <v>3258</v>
      </c>
      <c r="K338" s="635"/>
      <c r="L338" s="626"/>
      <c r="M338" s="627"/>
      <c r="N338" s="507" t="s">
        <v>3873</v>
      </c>
      <c r="O338" s="507" t="s">
        <v>3089</v>
      </c>
      <c r="P338" s="902" t="s">
        <v>3242</v>
      </c>
      <c r="Q338" s="631"/>
      <c r="S338" s="611"/>
      <c r="T338" s="611"/>
      <c r="U338" s="611"/>
      <c r="V338" s="611"/>
      <c r="W338" s="611"/>
      <c r="X338" s="611"/>
      <c r="Y338" s="611"/>
      <c r="Z338" s="611"/>
      <c r="AA338" s="611"/>
    </row>
    <row r="339" spans="1:27" ht="12" customHeight="1">
      <c r="A339" s="611"/>
      <c r="B339" s="640"/>
      <c r="C339" s="507" t="s">
        <v>3027</v>
      </c>
      <c r="D339" s="507" t="s">
        <v>1872</v>
      </c>
      <c r="E339" s="637" t="s">
        <v>3631</v>
      </c>
      <c r="F339" s="637"/>
      <c r="G339" s="631" t="s">
        <v>3566</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3632</v>
      </c>
      <c r="D340" s="507" t="s">
        <v>2036</v>
      </c>
      <c r="E340" s="637" t="s">
        <v>3633</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3634</v>
      </c>
      <c r="D341" s="507" t="s">
        <v>2036</v>
      </c>
      <c r="E341" s="637" t="s">
        <v>3635</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3636</v>
      </c>
      <c r="D342" s="507" t="s">
        <v>1872</v>
      </c>
      <c r="E342" s="637" t="s">
        <v>2811</v>
      </c>
      <c r="F342" s="637"/>
      <c r="G342" s="631" t="s">
        <v>1804</v>
      </c>
      <c r="H342" s="632" t="s">
        <v>537</v>
      </c>
      <c r="I342" s="611"/>
      <c r="J342" s="634" t="s">
        <v>1372</v>
      </c>
      <c r="K342" s="635"/>
      <c r="L342" s="626"/>
      <c r="M342" s="627"/>
      <c r="N342" s="636" t="s">
        <v>3671</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3673</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3874</v>
      </c>
      <c r="O344" s="507" t="s">
        <v>1010</v>
      </c>
      <c r="P344" s="902"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484</v>
      </c>
      <c r="O345" s="636" t="s">
        <v>3765</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486</v>
      </c>
      <c r="O346" s="636" t="s">
        <v>3278</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1464</v>
      </c>
      <c r="O349" s="636" t="s">
        <v>3763</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2995</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964</v>
      </c>
      <c r="P351" s="902"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3876</v>
      </c>
      <c r="O359" s="507" t="s">
        <v>3280</v>
      </c>
      <c r="P359" s="902"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3877</v>
      </c>
      <c r="O360" s="507" t="s">
        <v>3820</v>
      </c>
      <c r="P360" s="902"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3801</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902"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902"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902"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902"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3760</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3412</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3620</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3759</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902"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3765</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3371</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3735</v>
      </c>
      <c r="O400" s="636" t="s">
        <v>2940</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3287</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901"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3291</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3088</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3634</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3820</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2940</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902"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3280</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3817</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2982</v>
      </c>
      <c r="P420" s="902"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3373</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3085</v>
      </c>
      <c r="P426" s="902"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3820</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3817</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3428</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3084</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2982</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1676</v>
      </c>
      <c r="O439" s="507" t="s">
        <v>1727</v>
      </c>
      <c r="P439" s="902"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3276</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3016</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3905</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3267</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2631</v>
      </c>
      <c r="O444" s="636" t="s">
        <v>2986</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3760</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3468</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3448</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3450</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1677</v>
      </c>
      <c r="O453" s="507" t="s">
        <v>2270</v>
      </c>
      <c r="P453" s="902"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1678</v>
      </c>
      <c r="O455" s="507" t="s">
        <v>3759</v>
      </c>
      <c r="P455" s="902"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902"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2990</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3380</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3088</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3762</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902"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3073</v>
      </c>
      <c r="O477" s="636" t="s">
        <v>3087</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2986</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968</v>
      </c>
      <c r="O479" s="636" t="s">
        <v>3759</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902"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1682</v>
      </c>
      <c r="O483" s="507" t="s">
        <v>1741</v>
      </c>
      <c r="P483" s="902"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3818</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3285</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3485</v>
      </c>
      <c r="O490" s="636" t="s">
        <v>3904</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3487</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1683</v>
      </c>
      <c r="O493" s="507" t="s">
        <v>3085</v>
      </c>
      <c r="P493" s="902"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3087</v>
      </c>
      <c r="P495" s="901"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901"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3088</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2940</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3087</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3759</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3283</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2940</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3772</v>
      </c>
      <c r="O510" s="636" t="s">
        <v>2980</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3762</v>
      </c>
      <c r="P511" s="902"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3897</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3291</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2940</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3902</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3762</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3281</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3817</v>
      </c>
      <c r="P520" s="902"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3904</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3634</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3470</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901"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3174</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3088</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902"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1686</v>
      </c>
      <c r="O546" s="507" t="s">
        <v>232</v>
      </c>
      <c r="P546" s="902"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3820</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3897</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3759</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3908</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3191</v>
      </c>
      <c r="O552" s="636" t="s">
        <v>3765</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1867</v>
      </c>
      <c r="P558" s="902"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901"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498</v>
      </c>
      <c r="O563" s="636" t="s">
        <v>3902</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3276</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3820</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2339</v>
      </c>
      <c r="O567" s="636" t="s">
        <v>3763</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3700</v>
      </c>
      <c r="O570" s="636" t="s">
        <v>3765</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902"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902"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902"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3903</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3276</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3283</v>
      </c>
      <c r="P586" s="901"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3404</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3406</v>
      </c>
      <c r="O588" s="636" t="s">
        <v>3280</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3902</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902"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3217</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2164</v>
      </c>
      <c r="O601" s="636" t="s">
        <v>415</v>
      </c>
      <c r="P601" s="627" t="s">
        <v>1164</v>
      </c>
      <c r="Q601" s="611"/>
      <c r="R601" s="507" t="s">
        <v>3866</v>
      </c>
      <c r="S601" s="507" t="s">
        <v>964</v>
      </c>
      <c r="T601" s="902"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902" t="s">
        <v>3242</v>
      </c>
      <c r="Q602" s="611"/>
      <c r="R602" s="507" t="s">
        <v>3867</v>
      </c>
      <c r="S602" s="507" t="s">
        <v>414</v>
      </c>
      <c r="T602" s="902"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3868</v>
      </c>
      <c r="S603" s="507" t="s">
        <v>3759</v>
      </c>
      <c r="T603" s="902"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3869</v>
      </c>
      <c r="S604" s="507"/>
      <c r="T604" s="902"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3148</v>
      </c>
      <c r="O605" s="636" t="s">
        <v>1549</v>
      </c>
      <c r="P605" s="627" t="s">
        <v>1167</v>
      </c>
      <c r="Q605" s="611"/>
      <c r="R605" s="507" t="s">
        <v>3870</v>
      </c>
      <c r="S605" s="507" t="s">
        <v>3087</v>
      </c>
      <c r="T605" s="902"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1168</v>
      </c>
      <c r="Q606" s="611"/>
      <c r="R606" s="507" t="s">
        <v>3871</v>
      </c>
      <c r="S606" s="507" t="s">
        <v>3759</v>
      </c>
      <c r="T606" s="902"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369</v>
      </c>
      <c r="O607" s="636" t="s">
        <v>3027</v>
      </c>
      <c r="P607" s="627" t="s">
        <v>1169</v>
      </c>
      <c r="Q607" s="611"/>
      <c r="R607" s="507" t="s">
        <v>3872</v>
      </c>
      <c r="S607" s="507" t="s">
        <v>2028</v>
      </c>
      <c r="T607" s="902"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3285</v>
      </c>
      <c r="P608" s="627" t="s">
        <v>1170</v>
      </c>
      <c r="Q608" s="611"/>
      <c r="R608" s="507" t="s">
        <v>3873</v>
      </c>
      <c r="S608" s="507" t="s">
        <v>3089</v>
      </c>
      <c r="T608" s="902"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3874</v>
      </c>
      <c r="S609" s="507" t="s">
        <v>1010</v>
      </c>
      <c r="T609" s="902"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3875</v>
      </c>
      <c r="S610" s="507" t="s">
        <v>964</v>
      </c>
      <c r="T610" s="902"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3876</v>
      </c>
      <c r="S611" s="507" t="s">
        <v>3280</v>
      </c>
      <c r="T611" s="902"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3877</v>
      </c>
      <c r="S612" s="507" t="s">
        <v>3820</v>
      </c>
      <c r="T612" s="902"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3902</v>
      </c>
      <c r="P613" s="627" t="s">
        <v>1175</v>
      </c>
      <c r="Q613" s="611"/>
      <c r="R613" s="507" t="s">
        <v>3373</v>
      </c>
      <c r="S613" s="507" t="s">
        <v>3817</v>
      </c>
      <c r="T613" s="902"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3636</v>
      </c>
      <c r="P614" s="627" t="s">
        <v>1176</v>
      </c>
      <c r="Q614" s="611"/>
      <c r="R614" s="507" t="s">
        <v>3878</v>
      </c>
      <c r="S614" s="507" t="s">
        <v>3280</v>
      </c>
      <c r="T614" s="902"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3762</v>
      </c>
      <c r="P615" s="627" t="s">
        <v>1177</v>
      </c>
      <c r="Q615" s="611"/>
      <c r="R615" s="507" t="s">
        <v>3879</v>
      </c>
      <c r="S615" s="507" t="s">
        <v>3762</v>
      </c>
      <c r="T615" s="902"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901" t="s">
        <v>1412</v>
      </c>
      <c r="Q616" s="611"/>
      <c r="R616" s="507" t="s">
        <v>3880</v>
      </c>
      <c r="S616" s="507" t="s">
        <v>3087</v>
      </c>
      <c r="T616" s="902"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902"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902" t="s">
        <v>3242</v>
      </c>
      <c r="Q618" s="611"/>
      <c r="R618" s="507" t="s">
        <v>1498</v>
      </c>
      <c r="S618" s="507" t="s">
        <v>1734</v>
      </c>
      <c r="T618" s="902"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902"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2982</v>
      </c>
      <c r="T620" s="902"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902" t="s">
        <v>3242</v>
      </c>
      <c r="Q621" s="611"/>
      <c r="R621" s="507" t="s">
        <v>1675</v>
      </c>
      <c r="S621" s="507" t="s">
        <v>3085</v>
      </c>
      <c r="T621" s="902"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902"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1181</v>
      </c>
      <c r="Q623" s="903"/>
      <c r="R623" s="507" t="s">
        <v>1677</v>
      </c>
      <c r="S623" s="507" t="s">
        <v>2270</v>
      </c>
      <c r="T623" s="902"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1182</v>
      </c>
      <c r="Q624" s="611"/>
      <c r="R624" s="507" t="s">
        <v>1678</v>
      </c>
      <c r="S624" s="507" t="s">
        <v>3759</v>
      </c>
      <c r="T624" s="902"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902" t="s">
        <v>3242</v>
      </c>
      <c r="Q625" s="611"/>
      <c r="R625" s="507" t="s">
        <v>1679</v>
      </c>
      <c r="S625" s="507" t="s">
        <v>215</v>
      </c>
      <c r="T625" s="902"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1695</v>
      </c>
      <c r="O626" s="507" t="s">
        <v>411</v>
      </c>
      <c r="P626" s="902" t="s">
        <v>3242</v>
      </c>
      <c r="Q626" s="611"/>
      <c r="R626" s="507" t="s">
        <v>1680</v>
      </c>
      <c r="S626" s="507" t="s">
        <v>2035</v>
      </c>
      <c r="T626" s="902"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2028</v>
      </c>
      <c r="P627" s="627" t="s">
        <v>1183</v>
      </c>
      <c r="Q627" s="611"/>
      <c r="R627" s="507" t="s">
        <v>1681</v>
      </c>
      <c r="S627" s="507" t="s">
        <v>2270</v>
      </c>
      <c r="T627" s="902"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1184</v>
      </c>
      <c r="Q628" s="611"/>
      <c r="R628" s="507" t="s">
        <v>1682</v>
      </c>
      <c r="S628" s="507" t="s">
        <v>1741</v>
      </c>
      <c r="T628" s="902"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1185</v>
      </c>
      <c r="Q629" s="611"/>
      <c r="R629" s="507" t="s">
        <v>1683</v>
      </c>
      <c r="S629" s="507" t="s">
        <v>3085</v>
      </c>
      <c r="T629" s="902"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2178</v>
      </c>
      <c r="P630" s="627" t="s">
        <v>1186</v>
      </c>
      <c r="Q630" s="611"/>
      <c r="R630" s="636" t="s">
        <v>1416</v>
      </c>
      <c r="S630" s="636" t="s">
        <v>1464</v>
      </c>
      <c r="T630" s="902"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1011</v>
      </c>
      <c r="P631" s="627" t="s">
        <v>1187</v>
      </c>
      <c r="Q631" s="611"/>
      <c r="R631" s="507" t="s">
        <v>1684</v>
      </c>
      <c r="S631" s="507" t="s">
        <v>3762</v>
      </c>
      <c r="T631" s="902"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1188</v>
      </c>
      <c r="Q632" s="611"/>
      <c r="R632" s="507" t="s">
        <v>2369</v>
      </c>
      <c r="S632" s="507" t="s">
        <v>3817</v>
      </c>
      <c r="T632" s="902"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3293</v>
      </c>
      <c r="P633" s="627" t="s">
        <v>1189</v>
      </c>
      <c r="Q633" s="611"/>
      <c r="R633" s="507" t="s">
        <v>1685</v>
      </c>
      <c r="S633" s="507"/>
      <c r="T633" s="902"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902"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902"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3283</v>
      </c>
      <c r="P636" s="627" t="s">
        <v>1192</v>
      </c>
      <c r="Q636" s="611"/>
      <c r="R636" s="507" t="s">
        <v>3418</v>
      </c>
      <c r="S636" s="507" t="s">
        <v>1867</v>
      </c>
      <c r="T636" s="902"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902"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902"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902"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902"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3759</v>
      </c>
      <c r="P641" s="627" t="s">
        <v>1197</v>
      </c>
      <c r="Q641" s="611"/>
      <c r="R641" s="507" t="s">
        <v>1691</v>
      </c>
      <c r="S641" s="507" t="s">
        <v>2664</v>
      </c>
      <c r="T641" s="902"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3765</v>
      </c>
      <c r="P642" s="627" t="s">
        <v>1198</v>
      </c>
      <c r="Q642" s="611"/>
      <c r="R642" s="507" t="s">
        <v>1692</v>
      </c>
      <c r="S642" s="507" t="s">
        <v>1551</v>
      </c>
      <c r="T642" s="902"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3821</v>
      </c>
      <c r="P643" s="627" t="s">
        <v>1199</v>
      </c>
      <c r="Q643" s="611"/>
      <c r="R643" s="507" t="s">
        <v>1693</v>
      </c>
      <c r="S643" s="507" t="s">
        <v>137</v>
      </c>
      <c r="T643" s="902"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902" t="s">
        <v>3242</v>
      </c>
      <c r="Q644" s="611"/>
      <c r="R644" s="507" t="s">
        <v>1694</v>
      </c>
      <c r="S644" s="507" t="s">
        <v>964</v>
      </c>
      <c r="T644" s="902"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3027</v>
      </c>
      <c r="P645" s="627" t="s">
        <v>1200</v>
      </c>
      <c r="Q645" s="611"/>
      <c r="R645" s="507" t="s">
        <v>1695</v>
      </c>
      <c r="S645" s="507" t="s">
        <v>411</v>
      </c>
      <c r="T645" s="902"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902"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3398</v>
      </c>
      <c r="O647" s="636" t="s">
        <v>3276</v>
      </c>
      <c r="P647" s="627" t="s">
        <v>1202</v>
      </c>
      <c r="Q647" s="611"/>
      <c r="R647" s="507" t="s">
        <v>1420</v>
      </c>
      <c r="S647" s="507" t="s">
        <v>2014</v>
      </c>
      <c r="T647" s="902"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1002</v>
      </c>
      <c r="P648" s="627" t="s">
        <v>1203</v>
      </c>
      <c r="Q648" s="611"/>
      <c r="R648" s="507" t="s">
        <v>1697</v>
      </c>
      <c r="S648" s="507" t="s">
        <v>1010</v>
      </c>
      <c r="T648" s="902"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2799</v>
      </c>
      <c r="O649" s="636" t="s">
        <v>1222</v>
      </c>
      <c r="P649" s="627" t="s">
        <v>1204</v>
      </c>
      <c r="Q649" s="611"/>
      <c r="R649" s="507" t="s">
        <v>1698</v>
      </c>
      <c r="S649" s="507" t="s">
        <v>2270</v>
      </c>
      <c r="T649" s="902"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3808</v>
      </c>
      <c r="O650" s="636" t="s">
        <v>3087</v>
      </c>
      <c r="P650" s="627" t="s">
        <v>1205</v>
      </c>
      <c r="Q650" s="611"/>
      <c r="R650" s="507" t="s">
        <v>1699</v>
      </c>
      <c r="S650" s="507" t="s">
        <v>964</v>
      </c>
      <c r="T650" s="902"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1867</v>
      </c>
      <c r="P651" s="627" t="s">
        <v>1206</v>
      </c>
      <c r="Q651" s="611"/>
      <c r="R651" s="507" t="s">
        <v>1700</v>
      </c>
      <c r="S651" s="507" t="s">
        <v>1002</v>
      </c>
      <c r="T651" s="902"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2515</v>
      </c>
      <c r="O652" s="636" t="s">
        <v>1004</v>
      </c>
      <c r="P652" s="627" t="s">
        <v>747</v>
      </c>
      <c r="Q652" s="611"/>
      <c r="R652" s="507" t="s">
        <v>1701</v>
      </c>
      <c r="S652" s="507" t="s">
        <v>215</v>
      </c>
      <c r="T652" s="902"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901" t="s">
        <v>1412</v>
      </c>
      <c r="Q653" s="611"/>
      <c r="R653" s="507" t="s">
        <v>1702</v>
      </c>
      <c r="S653" s="507" t="s">
        <v>2982</v>
      </c>
      <c r="T653" s="902"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902" t="s">
        <v>3242</v>
      </c>
      <c r="Q654" s="611"/>
      <c r="R654" s="507" t="s">
        <v>1703</v>
      </c>
      <c r="S654" s="507" t="s">
        <v>3085</v>
      </c>
      <c r="T654" s="902"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3897</v>
      </c>
      <c r="P655" s="627" t="s">
        <v>748</v>
      </c>
      <c r="Q655" s="611"/>
      <c r="R655" s="507" t="s">
        <v>1704</v>
      </c>
      <c r="S655" s="507" t="s">
        <v>964</v>
      </c>
      <c r="T655" s="902"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902"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902" t="s">
        <v>3242</v>
      </c>
      <c r="Q657" s="611"/>
      <c r="R657" s="507" t="s">
        <v>1706</v>
      </c>
      <c r="S657" s="507" t="s">
        <v>3762</v>
      </c>
      <c r="T657" s="902"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3661</v>
      </c>
      <c r="O658" s="636" t="s">
        <v>120</v>
      </c>
      <c r="P658" s="627" t="s">
        <v>749</v>
      </c>
      <c r="Q658" s="611"/>
      <c r="R658" s="507" t="s">
        <v>1707</v>
      </c>
      <c r="S658" s="507" t="s">
        <v>215</v>
      </c>
      <c r="T658" s="902"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902"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2003</v>
      </c>
      <c r="O660" s="636" t="s">
        <v>2980</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3815</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1699</v>
      </c>
      <c r="O665" s="507" t="s">
        <v>964</v>
      </c>
      <c r="P665" s="902"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3820</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902"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3289</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3820</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3070</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902"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2947</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742</v>
      </c>
      <c r="O681" s="636" t="s">
        <v>3088</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3827</v>
      </c>
      <c r="O683" s="636" t="s">
        <v>3818</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1697</v>
      </c>
      <c r="O687" s="507" t="s">
        <v>1010</v>
      </c>
      <c r="P687" s="902"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3198</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1532</v>
      </c>
      <c r="O691" s="636" t="s">
        <v>3371</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3782</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2963</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2966</v>
      </c>
      <c r="O695" s="636" t="s">
        <v>3371</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2968</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3636</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1399</v>
      </c>
      <c r="O698" s="636" t="s">
        <v>3280</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1702</v>
      </c>
      <c r="O699" s="507" t="s">
        <v>2982</v>
      </c>
      <c r="P699" s="902"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1703</v>
      </c>
      <c r="O700" s="507" t="s">
        <v>3085</v>
      </c>
      <c r="P700" s="902"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2123</v>
      </c>
      <c r="O703" s="636" t="s">
        <v>3371</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3387</v>
      </c>
      <c r="O704" s="636" t="s">
        <v>2988</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3389</v>
      </c>
      <c r="O705" s="636" t="s">
        <v>3276</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3391</v>
      </c>
      <c r="O706" s="636" t="s">
        <v>3636</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1747</v>
      </c>
      <c r="O707" s="636" t="s">
        <v>3287</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3140</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418</v>
      </c>
      <c r="P711" s="627" t="s">
        <v>560</v>
      </c>
      <c r="Q711" s="903"/>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1421</v>
      </c>
      <c r="O716" s="636" t="s">
        <v>3085</v>
      </c>
      <c r="P716" s="901"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3224</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3479</v>
      </c>
      <c r="O719" s="636" t="s">
        <v>2938</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00"/>
      <c r="K722" s="1001"/>
      <c r="L722" s="1001"/>
      <c r="M722" s="1002"/>
      <c r="N722" s="636" t="s">
        <v>3482</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3634</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902"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3026</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3820</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3371</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902"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3026</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2980</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901"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3762</v>
      </c>
      <c r="P747" s="902"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3088</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2940</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3636</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3903</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3089</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2986</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901"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902"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902"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2940</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3287</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3085</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2982</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17" sqref="H17:N17"/>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053" t="str">
        <f>CONCATENATE("PART TWO - DEVELOPMENT TEAM INFORMATION","  -  ",'Part I-Project Information'!$O$4," ",'Part I-Project Information'!$F$22,", ",'Part I-Project Information'!F24,", ",'Part I-Project Information'!J25," County")</f>
        <v>PART TWO - DEVELOPMENT TEAM INFORMATION  -  2011-053 Hampton Court , Hampton, Henry County</v>
      </c>
      <c r="B1" s="1054"/>
      <c r="C1" s="1054"/>
      <c r="D1" s="1054"/>
      <c r="E1" s="1054"/>
      <c r="F1" s="1054"/>
      <c r="G1" s="1054"/>
      <c r="H1" s="1054"/>
      <c r="I1" s="1054"/>
      <c r="J1" s="1054"/>
      <c r="K1" s="1054"/>
      <c r="L1" s="1054"/>
      <c r="M1" s="1054"/>
      <c r="N1" s="1054"/>
      <c r="O1" s="1054"/>
      <c r="P1" s="1054"/>
      <c r="Q1" s="1054"/>
      <c r="R1" s="1054"/>
      <c r="S1" s="1055"/>
    </row>
    <row r="3" spans="1:19" s="458" customFormat="1" ht="13.2" customHeight="1">
      <c r="A3" s="461" t="s">
        <v>950</v>
      </c>
      <c r="B3" s="465" t="s">
        <v>2913</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3060</v>
      </c>
      <c r="C5" s="465" t="s">
        <v>2909</v>
      </c>
      <c r="H5" s="951" t="s">
        <v>3920</v>
      </c>
      <c r="I5" s="1047"/>
      <c r="J5" s="1047"/>
      <c r="K5" s="1047"/>
      <c r="L5" s="1047"/>
      <c r="M5" s="1047"/>
      <c r="N5" s="1048"/>
      <c r="O5" s="714" t="s">
        <v>3067</v>
      </c>
      <c r="P5" s="714"/>
      <c r="Q5" s="951" t="s">
        <v>3925</v>
      </c>
      <c r="R5" s="1047"/>
      <c r="S5" s="1048"/>
    </row>
    <row r="6" spans="1:19" s="458" customFormat="1" ht="12.6" customHeight="1">
      <c r="D6" s="508"/>
      <c r="E6" s="464" t="s">
        <v>1641</v>
      </c>
      <c r="F6" s="472"/>
      <c r="H6" s="951" t="s">
        <v>3921</v>
      </c>
      <c r="I6" s="1047"/>
      <c r="J6" s="1047"/>
      <c r="K6" s="1047"/>
      <c r="L6" s="1047"/>
      <c r="M6" s="1047"/>
      <c r="N6" s="1048"/>
      <c r="O6" s="714" t="s">
        <v>2775</v>
      </c>
      <c r="Q6" s="951" t="s">
        <v>3926</v>
      </c>
      <c r="R6" s="1047"/>
      <c r="S6" s="1048"/>
    </row>
    <row r="7" spans="1:19" s="458" customFormat="1" ht="12.6" customHeight="1">
      <c r="D7" s="508"/>
      <c r="E7" s="464" t="s">
        <v>953</v>
      </c>
      <c r="H7" s="951" t="s">
        <v>3922</v>
      </c>
      <c r="I7" s="1047"/>
      <c r="J7" s="1048"/>
      <c r="K7" s="880" t="s">
        <v>1254</v>
      </c>
      <c r="L7" s="951"/>
      <c r="M7" s="1047"/>
      <c r="N7" s="1048"/>
      <c r="O7" s="714" t="s">
        <v>2834</v>
      </c>
      <c r="Q7" s="953">
        <v>4788257754</v>
      </c>
      <c r="R7" s="954"/>
      <c r="S7" s="955"/>
    </row>
    <row r="8" spans="1:19" s="458" customFormat="1" ht="12.6" customHeight="1">
      <c r="D8" s="508"/>
      <c r="E8" s="464" t="s">
        <v>2830</v>
      </c>
      <c r="H8" s="876" t="s">
        <v>1438</v>
      </c>
      <c r="I8" s="719" t="s">
        <v>1973</v>
      </c>
      <c r="J8" s="996">
        <v>310303731</v>
      </c>
      <c r="K8" s="1048"/>
      <c r="L8" s="398" t="s">
        <v>1976</v>
      </c>
      <c r="N8" s="881" t="s">
        <v>3923</v>
      </c>
      <c r="O8" s="714" t="s">
        <v>3056</v>
      </c>
      <c r="Q8" s="953">
        <v>7706174375</v>
      </c>
      <c r="R8" s="954"/>
      <c r="S8" s="955"/>
    </row>
    <row r="9" spans="1:19" s="458" customFormat="1" ht="12.6" customHeight="1">
      <c r="D9" s="508"/>
      <c r="E9" s="464" t="s">
        <v>3062</v>
      </c>
      <c r="H9" s="953">
        <v>4788257754</v>
      </c>
      <c r="I9" s="955"/>
      <c r="J9" s="882"/>
      <c r="K9" s="719" t="s">
        <v>2833</v>
      </c>
      <c r="L9" s="980">
        <v>4788250999</v>
      </c>
      <c r="M9" s="1048"/>
      <c r="N9" s="466" t="s">
        <v>3061</v>
      </c>
      <c r="O9" s="1023" t="s">
        <v>3924</v>
      </c>
      <c r="P9" s="1024"/>
      <c r="Q9" s="1024"/>
      <c r="R9" s="1024"/>
      <c r="S9" s="1025"/>
    </row>
    <row r="10" spans="1:19" s="458" customFormat="1" ht="13.2" customHeight="1">
      <c r="D10" s="508"/>
      <c r="E10" s="441" t="s">
        <v>997</v>
      </c>
      <c r="H10" s="501"/>
      <c r="L10" s="550" t="s">
        <v>1974</v>
      </c>
      <c r="N10" s="719"/>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3063</v>
      </c>
      <c r="C12" s="465" t="s">
        <v>2910</v>
      </c>
      <c r="F12" s="465"/>
      <c r="G12" s="465"/>
      <c r="H12" s="465"/>
      <c r="I12" s="465"/>
      <c r="J12" s="465"/>
      <c r="K12" s="465"/>
      <c r="L12" s="397" t="s">
        <v>1971</v>
      </c>
      <c r="O12" s="1069" t="s">
        <v>1972</v>
      </c>
      <c r="P12" s="1069"/>
      <c r="Q12" s="1069"/>
      <c r="R12" s="1069"/>
      <c r="S12" s="1069"/>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3064</v>
      </c>
      <c r="D14" s="506" t="s">
        <v>3065</v>
      </c>
      <c r="H14" s="721"/>
      <c r="I14" s="721"/>
      <c r="J14" s="721"/>
      <c r="K14" s="459"/>
      <c r="L14" s="397" t="s">
        <v>1975</v>
      </c>
      <c r="M14" s="482"/>
      <c r="O14" s="1068" t="s">
        <v>1970</v>
      </c>
      <c r="P14" s="1068"/>
      <c r="Q14" s="1068"/>
      <c r="R14" s="1068"/>
      <c r="S14" s="1068"/>
    </row>
    <row r="15" spans="1:19" s="458" customFormat="1" ht="4.2" customHeight="1">
      <c r="D15" s="510"/>
      <c r="E15" s="511"/>
      <c r="H15" s="883"/>
      <c r="I15" s="883"/>
      <c r="J15" s="883"/>
      <c r="K15" s="717"/>
      <c r="L15" s="883"/>
      <c r="M15" s="883"/>
      <c r="N15" s="717"/>
      <c r="O15" s="884"/>
      <c r="P15" s="884"/>
      <c r="Q15" s="719"/>
      <c r="R15" s="884"/>
      <c r="S15" s="884"/>
    </row>
    <row r="16" spans="1:19" s="458" customFormat="1" ht="12.6" customHeight="1">
      <c r="D16" s="461" t="s">
        <v>3213</v>
      </c>
      <c r="E16" s="458" t="s">
        <v>2911</v>
      </c>
      <c r="H16" s="951" t="s">
        <v>3927</v>
      </c>
      <c r="I16" s="1047"/>
      <c r="J16" s="1047"/>
      <c r="K16" s="1047"/>
      <c r="L16" s="1047"/>
      <c r="M16" s="1047"/>
      <c r="N16" s="1048"/>
      <c r="O16" s="714" t="s">
        <v>3067</v>
      </c>
      <c r="P16" s="714"/>
      <c r="Q16" s="951" t="s">
        <v>3929</v>
      </c>
      <c r="R16" s="1047"/>
      <c r="S16" s="1048"/>
    </row>
    <row r="17" spans="4:19" s="458" customFormat="1" ht="12.6" customHeight="1">
      <c r="D17" s="508"/>
      <c r="E17" s="464" t="s">
        <v>1641</v>
      </c>
      <c r="F17" s="472"/>
      <c r="H17" s="951" t="s">
        <v>3921</v>
      </c>
      <c r="I17" s="1047"/>
      <c r="J17" s="1047"/>
      <c r="K17" s="1047"/>
      <c r="L17" s="1047"/>
      <c r="M17" s="1047"/>
      <c r="N17" s="1048"/>
      <c r="O17" s="714" t="s">
        <v>2775</v>
      </c>
      <c r="Q17" s="951" t="s">
        <v>3930</v>
      </c>
      <c r="R17" s="1047"/>
      <c r="S17" s="1048"/>
    </row>
    <row r="18" spans="4:19" s="458" customFormat="1" ht="12.6" customHeight="1">
      <c r="D18" s="508"/>
      <c r="E18" s="464" t="s">
        <v>953</v>
      </c>
      <c r="H18" s="951" t="s">
        <v>298</v>
      </c>
      <c r="I18" s="1047"/>
      <c r="J18" s="1048"/>
      <c r="O18" s="714" t="s">
        <v>2834</v>
      </c>
      <c r="Q18" s="953">
        <v>4788257754</v>
      </c>
      <c r="R18" s="954"/>
      <c r="S18" s="955"/>
    </row>
    <row r="19" spans="4:19" s="458" customFormat="1" ht="12.6" customHeight="1">
      <c r="D19" s="461"/>
      <c r="E19" s="464" t="s">
        <v>2830</v>
      </c>
      <c r="H19" s="876" t="s">
        <v>1438</v>
      </c>
      <c r="I19" s="719" t="s">
        <v>1973</v>
      </c>
      <c r="J19" s="996">
        <v>310303731</v>
      </c>
      <c r="K19" s="1048"/>
      <c r="L19" s="398" t="s">
        <v>1976</v>
      </c>
      <c r="N19" s="881" t="s">
        <v>3928</v>
      </c>
      <c r="O19" s="714" t="s">
        <v>3056</v>
      </c>
      <c r="Q19" s="953">
        <v>7706174375</v>
      </c>
      <c r="R19" s="954"/>
      <c r="S19" s="955"/>
    </row>
    <row r="20" spans="4:19" s="458" customFormat="1" ht="12.6" customHeight="1">
      <c r="D20" s="508"/>
      <c r="E20" s="464" t="s">
        <v>3062</v>
      </c>
      <c r="H20" s="953">
        <v>4788257754</v>
      </c>
      <c r="I20" s="955"/>
      <c r="J20" s="882"/>
      <c r="K20" s="719" t="s">
        <v>2833</v>
      </c>
      <c r="L20" s="980">
        <v>4788250999</v>
      </c>
      <c r="M20" s="1048"/>
      <c r="N20" s="466" t="s">
        <v>3061</v>
      </c>
      <c r="O20" s="1023" t="s">
        <v>3924</v>
      </c>
      <c r="P20" s="1024"/>
      <c r="Q20" s="1024"/>
      <c r="R20" s="1024"/>
      <c r="S20" s="1025"/>
    </row>
    <row r="21" spans="4:19" ht="4.2" customHeight="1">
      <c r="D21" s="491"/>
      <c r="H21" s="885"/>
      <c r="I21" s="885"/>
      <c r="J21" s="885"/>
      <c r="K21" s="719"/>
      <c r="L21" s="885"/>
      <c r="M21" s="885"/>
      <c r="N21" s="717"/>
      <c r="O21" s="884"/>
      <c r="P21" s="884"/>
      <c r="Q21" s="719"/>
      <c r="R21" s="884"/>
      <c r="S21" s="884"/>
    </row>
    <row r="22" spans="4:19" s="458" customFormat="1" ht="12.6" customHeight="1">
      <c r="D22" s="461" t="s">
        <v>3214</v>
      </c>
      <c r="E22" s="458" t="s">
        <v>2912</v>
      </c>
      <c r="F22" s="721"/>
      <c r="H22" s="951"/>
      <c r="I22" s="1047"/>
      <c r="J22" s="1047"/>
      <c r="K22" s="1047"/>
      <c r="L22" s="1047"/>
      <c r="M22" s="1047"/>
      <c r="N22" s="1048"/>
      <c r="O22" s="714" t="s">
        <v>3067</v>
      </c>
      <c r="P22" s="714"/>
      <c r="Q22" s="951"/>
      <c r="R22" s="1047"/>
      <c r="S22" s="1048"/>
    </row>
    <row r="23" spans="4:19" s="458" customFormat="1" ht="12.6" customHeight="1">
      <c r="D23" s="508"/>
      <c r="E23" s="464" t="s">
        <v>1641</v>
      </c>
      <c r="F23" s="472"/>
      <c r="H23" s="951"/>
      <c r="I23" s="1047"/>
      <c r="J23" s="1047"/>
      <c r="K23" s="1047"/>
      <c r="L23" s="1047"/>
      <c r="M23" s="1047"/>
      <c r="N23" s="1048"/>
      <c r="O23" s="714" t="s">
        <v>2775</v>
      </c>
      <c r="Q23" s="951"/>
      <c r="R23" s="1047"/>
      <c r="S23" s="1048"/>
    </row>
    <row r="24" spans="4:19" s="458" customFormat="1" ht="12.6" customHeight="1">
      <c r="D24" s="508"/>
      <c r="E24" s="464" t="s">
        <v>953</v>
      </c>
      <c r="H24" s="951"/>
      <c r="I24" s="1047"/>
      <c r="J24" s="1048"/>
      <c r="O24" s="714" t="s">
        <v>2834</v>
      </c>
      <c r="Q24" s="953"/>
      <c r="R24" s="954"/>
      <c r="S24" s="955"/>
    </row>
    <row r="25" spans="4:19" s="458" customFormat="1" ht="12.6" customHeight="1">
      <c r="E25" s="464" t="s">
        <v>2830</v>
      </c>
      <c r="H25" s="876"/>
      <c r="I25" s="493" t="s">
        <v>3354</v>
      </c>
      <c r="J25" s="996"/>
      <c r="K25" s="1048"/>
      <c r="O25" s="714" t="s">
        <v>3056</v>
      </c>
      <c r="Q25" s="953"/>
      <c r="R25" s="954"/>
      <c r="S25" s="955"/>
    </row>
    <row r="26" spans="4:19" s="458" customFormat="1" ht="12.6" customHeight="1">
      <c r="D26" s="508"/>
      <c r="E26" s="464" t="s">
        <v>3062</v>
      </c>
      <c r="H26" s="953"/>
      <c r="I26" s="955"/>
      <c r="J26" s="882"/>
      <c r="K26" s="719" t="s">
        <v>2833</v>
      </c>
      <c r="L26" s="980"/>
      <c r="M26" s="1048"/>
      <c r="N26" s="466" t="s">
        <v>3061</v>
      </c>
      <c r="O26" s="1023"/>
      <c r="P26" s="1024"/>
      <c r="Q26" s="1024"/>
      <c r="R26" s="1024"/>
      <c r="S26" s="1025"/>
    </row>
    <row r="27" spans="4:19" s="458" customFormat="1" ht="4.2" customHeight="1">
      <c r="D27" s="508"/>
      <c r="E27" s="721"/>
      <c r="F27" s="721"/>
      <c r="G27" s="714"/>
      <c r="H27" s="885"/>
      <c r="I27" s="885"/>
      <c r="J27" s="885"/>
      <c r="K27" s="719"/>
      <c r="L27" s="885"/>
      <c r="M27" s="885"/>
      <c r="N27" s="717"/>
      <c r="O27" s="884"/>
      <c r="P27" s="884"/>
      <c r="Q27" s="719"/>
      <c r="R27" s="884"/>
      <c r="S27" s="884"/>
    </row>
    <row r="28" spans="4:19" s="458" customFormat="1" ht="12.6" customHeight="1">
      <c r="D28" s="461" t="s">
        <v>2761</v>
      </c>
      <c r="E28" s="458" t="s">
        <v>2912</v>
      </c>
      <c r="F28" s="721"/>
      <c r="H28" s="951"/>
      <c r="I28" s="1047"/>
      <c r="J28" s="1047"/>
      <c r="K28" s="1047"/>
      <c r="L28" s="1047"/>
      <c r="M28" s="1047"/>
      <c r="N28" s="1048"/>
      <c r="O28" s="714" t="s">
        <v>3067</v>
      </c>
      <c r="P28" s="714"/>
      <c r="Q28" s="951"/>
      <c r="R28" s="1047"/>
      <c r="S28" s="1048"/>
    </row>
    <row r="29" spans="4:19" s="458" customFormat="1" ht="12.6" customHeight="1">
      <c r="D29" s="508"/>
      <c r="E29" s="464" t="s">
        <v>1641</v>
      </c>
      <c r="F29" s="472"/>
      <c r="H29" s="951"/>
      <c r="I29" s="1047"/>
      <c r="J29" s="1047"/>
      <c r="K29" s="1047"/>
      <c r="L29" s="1047"/>
      <c r="M29" s="1047"/>
      <c r="N29" s="1048"/>
      <c r="O29" s="714" t="s">
        <v>2775</v>
      </c>
      <c r="Q29" s="951"/>
      <c r="R29" s="1047"/>
      <c r="S29" s="1048"/>
    </row>
    <row r="30" spans="4:19" s="458" customFormat="1" ht="12.6" customHeight="1">
      <c r="D30" s="508"/>
      <c r="E30" s="464" t="s">
        <v>953</v>
      </c>
      <c r="H30" s="951"/>
      <c r="I30" s="1047"/>
      <c r="J30" s="1048"/>
      <c r="O30" s="714" t="s">
        <v>2834</v>
      </c>
      <c r="Q30" s="953"/>
      <c r="R30" s="954"/>
      <c r="S30" s="955"/>
    </row>
    <row r="31" spans="4:19" s="458" customFormat="1" ht="12.6" customHeight="1">
      <c r="E31" s="464" t="s">
        <v>2830</v>
      </c>
      <c r="H31" s="876"/>
      <c r="I31" s="493" t="s">
        <v>3354</v>
      </c>
      <c r="J31" s="996"/>
      <c r="K31" s="1048"/>
      <c r="O31" s="714" t="s">
        <v>3056</v>
      </c>
      <c r="Q31" s="953"/>
      <c r="R31" s="954"/>
      <c r="S31" s="955"/>
    </row>
    <row r="32" spans="4:19" s="458" customFormat="1" ht="12.6" customHeight="1">
      <c r="D32" s="508"/>
      <c r="E32" s="464" t="s">
        <v>3062</v>
      </c>
      <c r="H32" s="953"/>
      <c r="I32" s="955"/>
      <c r="J32" s="882"/>
      <c r="K32" s="719" t="s">
        <v>2833</v>
      </c>
      <c r="L32" s="980"/>
      <c r="M32" s="1048"/>
      <c r="N32" s="466" t="s">
        <v>3061</v>
      </c>
      <c r="O32" s="1023"/>
      <c r="P32" s="1024"/>
      <c r="Q32" s="1024"/>
      <c r="R32" s="1024"/>
      <c r="S32" s="1025"/>
    </row>
    <row r="33" spans="3:19" ht="4.2" customHeight="1"/>
    <row r="34" spans="3:19" s="458" customFormat="1" ht="13.2" customHeight="1">
      <c r="C34" s="510" t="s">
        <v>3066</v>
      </c>
      <c r="D34" s="506" t="s">
        <v>2914</v>
      </c>
      <c r="H34" s="721"/>
      <c r="I34" s="721"/>
      <c r="J34" s="721"/>
      <c r="K34" s="721"/>
      <c r="L34" s="721"/>
      <c r="M34" s="721"/>
    </row>
    <row r="35" spans="3:19" s="458" customFormat="1" ht="4.2" customHeight="1">
      <c r="C35" s="512"/>
      <c r="D35" s="506"/>
      <c r="H35" s="883"/>
      <c r="I35" s="883"/>
      <c r="J35" s="883"/>
      <c r="K35" s="717"/>
      <c r="L35" s="883"/>
      <c r="M35" s="883"/>
      <c r="N35" s="717"/>
      <c r="O35" s="884"/>
      <c r="P35" s="884"/>
      <c r="Q35" s="719"/>
      <c r="R35" s="884"/>
      <c r="S35" s="884"/>
    </row>
    <row r="36" spans="3:19" s="458" customFormat="1" ht="12.6" customHeight="1">
      <c r="D36" s="461" t="s">
        <v>3213</v>
      </c>
      <c r="E36" s="458" t="s">
        <v>1239</v>
      </c>
      <c r="H36" s="951" t="s">
        <v>3931</v>
      </c>
      <c r="I36" s="1047"/>
      <c r="J36" s="1047"/>
      <c r="K36" s="1047"/>
      <c r="L36" s="1047"/>
      <c r="M36" s="1047"/>
      <c r="N36" s="1048"/>
      <c r="O36" s="714" t="s">
        <v>3067</v>
      </c>
      <c r="P36" s="714"/>
      <c r="Q36" s="951" t="s">
        <v>3934</v>
      </c>
      <c r="R36" s="1047"/>
      <c r="S36" s="1048"/>
    </row>
    <row r="37" spans="3:19" s="458" customFormat="1" ht="12.6" customHeight="1">
      <c r="D37" s="508"/>
      <c r="E37" s="464" t="s">
        <v>1641</v>
      </c>
      <c r="F37" s="472"/>
      <c r="H37" s="951" t="s">
        <v>3932</v>
      </c>
      <c r="I37" s="1047"/>
      <c r="J37" s="1047"/>
      <c r="K37" s="1047"/>
      <c r="L37" s="1047"/>
      <c r="M37" s="1047"/>
      <c r="N37" s="1048"/>
      <c r="O37" s="714" t="s">
        <v>2775</v>
      </c>
      <c r="Q37" s="951" t="s">
        <v>3926</v>
      </c>
      <c r="R37" s="1047"/>
      <c r="S37" s="1048"/>
    </row>
    <row r="38" spans="3:19" s="458" customFormat="1" ht="12.6" customHeight="1">
      <c r="D38" s="508"/>
      <c r="E38" s="464" t="s">
        <v>953</v>
      </c>
      <c r="H38" s="951" t="s">
        <v>3933</v>
      </c>
      <c r="I38" s="1047"/>
      <c r="J38" s="1048"/>
      <c r="O38" s="714" t="s">
        <v>2834</v>
      </c>
      <c r="Q38" s="953"/>
      <c r="R38" s="954"/>
      <c r="S38" s="955"/>
    </row>
    <row r="39" spans="3:19" s="458" customFormat="1" ht="12.6" customHeight="1">
      <c r="E39" s="464" t="s">
        <v>2830</v>
      </c>
      <c r="H39" s="876" t="s">
        <v>2043</v>
      </c>
      <c r="I39" s="493" t="s">
        <v>3354</v>
      </c>
      <c r="J39" s="996">
        <v>652034905</v>
      </c>
      <c r="K39" s="1048"/>
      <c r="O39" s="714" t="s">
        <v>3056</v>
      </c>
      <c r="Q39" s="953">
        <v>5734248811</v>
      </c>
      <c r="R39" s="954"/>
      <c r="S39" s="955"/>
    </row>
    <row r="40" spans="3:19" s="458" customFormat="1" ht="12.6" customHeight="1">
      <c r="D40" s="508"/>
      <c r="E40" s="464" t="s">
        <v>3062</v>
      </c>
      <c r="H40" s="953">
        <v>5734432021</v>
      </c>
      <c r="I40" s="955"/>
      <c r="J40" s="882"/>
      <c r="K40" s="719" t="s">
        <v>2833</v>
      </c>
      <c r="L40" s="980">
        <v>5738747116</v>
      </c>
      <c r="M40" s="1048"/>
      <c r="N40" s="466" t="s">
        <v>3061</v>
      </c>
      <c r="O40" s="1023" t="s">
        <v>3935</v>
      </c>
      <c r="P40" s="1024"/>
      <c r="Q40" s="1024"/>
      <c r="R40" s="1024"/>
      <c r="S40" s="1025"/>
    </row>
    <row r="41" spans="3:19" ht="4.2" customHeight="1">
      <c r="H41" s="885"/>
      <c r="I41" s="885"/>
      <c r="J41" s="885"/>
      <c r="K41" s="719"/>
      <c r="L41" s="885"/>
      <c r="M41" s="885"/>
      <c r="N41" s="717"/>
      <c r="O41" s="884"/>
      <c r="P41" s="884"/>
      <c r="Q41" s="719"/>
      <c r="R41" s="884"/>
      <c r="S41" s="884"/>
    </row>
    <row r="42" spans="3:19" s="458" customFormat="1" ht="12.6" customHeight="1">
      <c r="D42" s="461" t="s">
        <v>3214</v>
      </c>
      <c r="E42" s="458" t="s">
        <v>1240</v>
      </c>
      <c r="F42" s="461"/>
      <c r="H42" s="951" t="s">
        <v>3931</v>
      </c>
      <c r="I42" s="1047"/>
      <c r="J42" s="1047"/>
      <c r="K42" s="1047"/>
      <c r="L42" s="1047"/>
      <c r="M42" s="1047"/>
      <c r="N42" s="1048"/>
      <c r="O42" s="714" t="s">
        <v>3067</v>
      </c>
      <c r="P42" s="714"/>
      <c r="Q42" s="951" t="s">
        <v>3937</v>
      </c>
      <c r="R42" s="1047"/>
      <c r="S42" s="1048"/>
    </row>
    <row r="43" spans="3:19" s="458" customFormat="1" ht="12.6" customHeight="1">
      <c r="D43" s="508"/>
      <c r="E43" s="464" t="s">
        <v>1641</v>
      </c>
      <c r="F43" s="472"/>
      <c r="H43" s="951" t="s">
        <v>3936</v>
      </c>
      <c r="I43" s="1047"/>
      <c r="J43" s="1047"/>
      <c r="K43" s="1047"/>
      <c r="L43" s="1047"/>
      <c r="M43" s="1047"/>
      <c r="N43" s="1048"/>
      <c r="O43" s="714" t="s">
        <v>2775</v>
      </c>
      <c r="Q43" s="951" t="s">
        <v>3926</v>
      </c>
      <c r="R43" s="1047"/>
      <c r="S43" s="1048"/>
    </row>
    <row r="44" spans="3:19" s="458" customFormat="1" ht="12.6" customHeight="1">
      <c r="D44" s="508"/>
      <c r="E44" s="464" t="s">
        <v>953</v>
      </c>
      <c r="H44" s="951" t="s">
        <v>3933</v>
      </c>
      <c r="I44" s="1047"/>
      <c r="J44" s="1048"/>
      <c r="O44" s="714" t="s">
        <v>2834</v>
      </c>
      <c r="Q44" s="953"/>
      <c r="R44" s="954"/>
      <c r="S44" s="955"/>
    </row>
    <row r="45" spans="3:19" s="458" customFormat="1" ht="12.6" customHeight="1">
      <c r="D45" s="461"/>
      <c r="E45" s="464" t="s">
        <v>2830</v>
      </c>
      <c r="H45" s="876" t="s">
        <v>2043</v>
      </c>
      <c r="I45" s="493" t="s">
        <v>3354</v>
      </c>
      <c r="J45" s="996">
        <v>652034905</v>
      </c>
      <c r="K45" s="1048"/>
      <c r="O45" s="714" t="s">
        <v>3056</v>
      </c>
      <c r="Q45" s="953">
        <v>5734248811</v>
      </c>
      <c r="R45" s="954"/>
      <c r="S45" s="955"/>
    </row>
    <row r="46" spans="3:19" s="458" customFormat="1" ht="12.6" customHeight="1">
      <c r="D46" s="508"/>
      <c r="E46" s="464" t="s">
        <v>3062</v>
      </c>
      <c r="H46" s="953">
        <v>5734432021</v>
      </c>
      <c r="I46" s="955"/>
      <c r="J46" s="882"/>
      <c r="K46" s="719" t="s">
        <v>2833</v>
      </c>
      <c r="L46" s="980">
        <v>5738747116</v>
      </c>
      <c r="M46" s="1048"/>
      <c r="N46" s="466" t="s">
        <v>3061</v>
      </c>
      <c r="O46" s="1023" t="s">
        <v>3935</v>
      </c>
      <c r="P46" s="1024"/>
      <c r="Q46" s="1024"/>
      <c r="R46" s="1024"/>
      <c r="S46" s="1025"/>
    </row>
    <row r="47" spans="3:19" s="458" customFormat="1" ht="4.2" customHeight="1">
      <c r="D47" s="508"/>
      <c r="E47" s="464"/>
      <c r="F47" s="461"/>
      <c r="H47" s="501"/>
      <c r="I47" s="501"/>
      <c r="J47" s="886"/>
      <c r="K47" s="719"/>
      <c r="L47" s="501"/>
      <c r="M47" s="501"/>
      <c r="N47" s="719"/>
      <c r="O47" s="501"/>
      <c r="P47" s="501"/>
      <c r="Q47" s="719"/>
      <c r="R47" s="501"/>
      <c r="S47" s="501"/>
    </row>
    <row r="48" spans="3:19" s="458" customFormat="1" ht="13.2" customHeight="1">
      <c r="C48" s="512" t="s">
        <v>3823</v>
      </c>
      <c r="D48" s="506" t="s">
        <v>994</v>
      </c>
      <c r="H48" s="721"/>
      <c r="I48" s="721"/>
      <c r="J48" s="721"/>
      <c r="K48" s="721"/>
      <c r="L48" s="721"/>
      <c r="M48" s="721"/>
    </row>
    <row r="49" spans="1:19" s="458" customFormat="1" ht="4.2" customHeight="1">
      <c r="D49" s="512"/>
      <c r="E49" s="511"/>
      <c r="H49" s="883"/>
      <c r="I49" s="883"/>
      <c r="J49" s="883"/>
      <c r="K49" s="717"/>
      <c r="L49" s="883"/>
      <c r="M49" s="883"/>
      <c r="N49" s="717"/>
      <c r="O49" s="884"/>
      <c r="P49" s="884"/>
      <c r="Q49" s="719"/>
      <c r="R49" s="884"/>
      <c r="S49" s="884"/>
    </row>
    <row r="50" spans="1:19" s="458" customFormat="1" ht="12.6" customHeight="1">
      <c r="E50" s="458" t="s">
        <v>103</v>
      </c>
      <c r="H50" s="951"/>
      <c r="I50" s="1047"/>
      <c r="J50" s="1047"/>
      <c r="K50" s="1047"/>
      <c r="L50" s="1047"/>
      <c r="M50" s="1047"/>
      <c r="N50" s="1048"/>
      <c r="O50" s="714" t="s">
        <v>3067</v>
      </c>
      <c r="P50" s="714"/>
      <c r="Q50" s="951"/>
      <c r="R50" s="1047"/>
      <c r="S50" s="1048"/>
    </row>
    <row r="51" spans="1:19" s="458" customFormat="1" ht="12.6" customHeight="1">
      <c r="D51" s="508"/>
      <c r="E51" s="464" t="s">
        <v>1641</v>
      </c>
      <c r="F51" s="472"/>
      <c r="H51" s="951"/>
      <c r="I51" s="1047"/>
      <c r="J51" s="1047"/>
      <c r="K51" s="1047"/>
      <c r="L51" s="1047"/>
      <c r="M51" s="1047"/>
      <c r="N51" s="1048"/>
      <c r="O51" s="714" t="s">
        <v>2775</v>
      </c>
      <c r="Q51" s="951"/>
      <c r="R51" s="1047"/>
      <c r="S51" s="1048"/>
    </row>
    <row r="52" spans="1:19" s="458" customFormat="1" ht="12.6" customHeight="1">
      <c r="D52" s="508"/>
      <c r="E52" s="464" t="s">
        <v>953</v>
      </c>
      <c r="H52" s="951"/>
      <c r="I52" s="1047"/>
      <c r="J52" s="1048"/>
      <c r="O52" s="714" t="s">
        <v>2834</v>
      </c>
      <c r="Q52" s="953"/>
      <c r="R52" s="954"/>
      <c r="S52" s="955"/>
    </row>
    <row r="53" spans="1:19" s="458" customFormat="1" ht="12.6" customHeight="1">
      <c r="E53" s="464" t="s">
        <v>2830</v>
      </c>
      <c r="H53" s="876"/>
      <c r="I53" s="493" t="s">
        <v>3354</v>
      </c>
      <c r="J53" s="996"/>
      <c r="K53" s="1048"/>
      <c r="O53" s="714" t="s">
        <v>3056</v>
      </c>
      <c r="Q53" s="953"/>
      <c r="R53" s="954"/>
      <c r="S53" s="955"/>
    </row>
    <row r="54" spans="1:19" s="458" customFormat="1" ht="12.6" customHeight="1">
      <c r="D54" s="508"/>
      <c r="E54" s="464" t="s">
        <v>3062</v>
      </c>
      <c r="H54" s="953"/>
      <c r="I54" s="955"/>
      <c r="J54" s="882"/>
      <c r="K54" s="719" t="s">
        <v>2833</v>
      </c>
      <c r="L54" s="980"/>
      <c r="M54" s="1048"/>
      <c r="N54" s="466" t="s">
        <v>3061</v>
      </c>
      <c r="O54" s="1023"/>
      <c r="P54" s="1024"/>
      <c r="Q54" s="1024"/>
      <c r="R54" s="1024"/>
      <c r="S54" s="1025"/>
    </row>
    <row r="55" spans="1:19" ht="13.2" customHeight="1"/>
    <row r="56" spans="1:19" s="458" customFormat="1" ht="13.2" customHeight="1">
      <c r="A56" s="461" t="s">
        <v>1229</v>
      </c>
      <c r="B56" s="461" t="s">
        <v>995</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883"/>
      <c r="I57" s="883"/>
      <c r="J57" s="883"/>
      <c r="K57" s="717"/>
      <c r="L57" s="883"/>
      <c r="M57" s="883"/>
      <c r="N57" s="717"/>
      <c r="O57" s="884"/>
      <c r="P57" s="884"/>
      <c r="Q57" s="719"/>
      <c r="R57" s="884"/>
      <c r="S57" s="884"/>
    </row>
    <row r="58" spans="1:19" s="458" customFormat="1" ht="13.2" customHeight="1">
      <c r="B58" s="461" t="s">
        <v>3060</v>
      </c>
      <c r="C58" s="461" t="s">
        <v>375</v>
      </c>
      <c r="H58" s="951" t="s">
        <v>3938</v>
      </c>
      <c r="I58" s="1047"/>
      <c r="J58" s="1047"/>
      <c r="K58" s="1047"/>
      <c r="L58" s="1047"/>
      <c r="M58" s="1047"/>
      <c r="N58" s="1048"/>
      <c r="O58" s="714" t="s">
        <v>3067</v>
      </c>
      <c r="P58" s="714"/>
      <c r="Q58" s="951" t="s">
        <v>3939</v>
      </c>
      <c r="R58" s="1047"/>
      <c r="S58" s="1048"/>
    </row>
    <row r="59" spans="1:19" s="458" customFormat="1" ht="13.2" customHeight="1">
      <c r="D59" s="508"/>
      <c r="E59" s="464" t="s">
        <v>1641</v>
      </c>
      <c r="F59" s="472"/>
      <c r="H59" s="951" t="s">
        <v>3921</v>
      </c>
      <c r="I59" s="1047"/>
      <c r="J59" s="1047"/>
      <c r="K59" s="1047"/>
      <c r="L59" s="1047"/>
      <c r="M59" s="1047"/>
      <c r="N59" s="1048"/>
      <c r="O59" s="714" t="s">
        <v>2775</v>
      </c>
      <c r="Q59" s="951" t="s">
        <v>3926</v>
      </c>
      <c r="R59" s="1047"/>
      <c r="S59" s="1048"/>
    </row>
    <row r="60" spans="1:19" s="458" customFormat="1" ht="13.2" customHeight="1">
      <c r="D60" s="508"/>
      <c r="E60" s="464" t="s">
        <v>953</v>
      </c>
      <c r="H60" s="951" t="s">
        <v>3922</v>
      </c>
      <c r="I60" s="1047"/>
      <c r="J60" s="1048"/>
      <c r="O60" s="714" t="s">
        <v>2834</v>
      </c>
      <c r="Q60" s="953">
        <v>4788257754</v>
      </c>
      <c r="R60" s="954"/>
      <c r="S60" s="955"/>
    </row>
    <row r="61" spans="1:19" s="458" customFormat="1" ht="13.2" customHeight="1">
      <c r="E61" s="464" t="s">
        <v>2830</v>
      </c>
      <c r="H61" s="876" t="s">
        <v>1438</v>
      </c>
      <c r="I61" s="493" t="s">
        <v>3354</v>
      </c>
      <c r="J61" s="996">
        <v>310303731</v>
      </c>
      <c r="K61" s="1048"/>
      <c r="O61" s="714" t="s">
        <v>3056</v>
      </c>
      <c r="Q61" s="953">
        <v>7706174375</v>
      </c>
      <c r="R61" s="954"/>
      <c r="S61" s="955"/>
    </row>
    <row r="62" spans="1:19" s="458" customFormat="1" ht="13.2" customHeight="1">
      <c r="D62" s="508"/>
      <c r="E62" s="464" t="s">
        <v>3062</v>
      </c>
      <c r="H62" s="953">
        <v>4788257754</v>
      </c>
      <c r="I62" s="955"/>
      <c r="J62" s="882"/>
      <c r="K62" s="719" t="s">
        <v>2833</v>
      </c>
      <c r="L62" s="980">
        <v>4788250999</v>
      </c>
      <c r="M62" s="1048"/>
      <c r="N62" s="466" t="s">
        <v>3061</v>
      </c>
      <c r="O62" s="1023" t="s">
        <v>3924</v>
      </c>
      <c r="P62" s="1024"/>
      <c r="Q62" s="1024"/>
      <c r="R62" s="1024"/>
      <c r="S62" s="1025"/>
    </row>
    <row r="63" spans="1:19" s="458" customFormat="1" ht="6.6" customHeight="1">
      <c r="D63" s="508"/>
      <c r="E63" s="721"/>
      <c r="F63" s="721"/>
      <c r="G63" s="714"/>
      <c r="H63" s="885"/>
      <c r="I63" s="885"/>
      <c r="J63" s="885"/>
      <c r="K63" s="719"/>
      <c r="L63" s="885"/>
      <c r="M63" s="885"/>
      <c r="N63" s="717"/>
      <c r="O63" s="884"/>
      <c r="P63" s="884"/>
      <c r="Q63" s="719"/>
      <c r="R63" s="884"/>
      <c r="S63" s="884"/>
    </row>
    <row r="64" spans="1:19" s="458" customFormat="1" ht="13.2" customHeight="1">
      <c r="B64" s="461" t="s">
        <v>3063</v>
      </c>
      <c r="C64" s="461" t="s">
        <v>376</v>
      </c>
      <c r="H64" s="951"/>
      <c r="I64" s="1047"/>
      <c r="J64" s="1047"/>
      <c r="K64" s="1047"/>
      <c r="L64" s="1047"/>
      <c r="M64" s="1047"/>
      <c r="N64" s="1048"/>
      <c r="O64" s="714" t="s">
        <v>3067</v>
      </c>
      <c r="P64" s="714"/>
      <c r="Q64" s="951"/>
      <c r="R64" s="1047"/>
      <c r="S64" s="1048"/>
    </row>
    <row r="65" spans="2:19" s="458" customFormat="1" ht="13.2" customHeight="1">
      <c r="D65" s="508"/>
      <c r="E65" s="464" t="s">
        <v>1641</v>
      </c>
      <c r="F65" s="472"/>
      <c r="H65" s="951"/>
      <c r="I65" s="1047"/>
      <c r="J65" s="1047"/>
      <c r="K65" s="1047"/>
      <c r="L65" s="1047"/>
      <c r="M65" s="1047"/>
      <c r="N65" s="1048"/>
      <c r="O65" s="714" t="s">
        <v>2775</v>
      </c>
      <c r="Q65" s="951"/>
      <c r="R65" s="1047"/>
      <c r="S65" s="1048"/>
    </row>
    <row r="66" spans="2:19" s="458" customFormat="1" ht="13.2" customHeight="1">
      <c r="D66" s="508"/>
      <c r="E66" s="464" t="s">
        <v>953</v>
      </c>
      <c r="H66" s="951"/>
      <c r="I66" s="1047"/>
      <c r="J66" s="1048"/>
      <c r="O66" s="714" t="s">
        <v>2834</v>
      </c>
      <c r="Q66" s="953"/>
      <c r="R66" s="954"/>
      <c r="S66" s="955"/>
    </row>
    <row r="67" spans="2:19" s="458" customFormat="1" ht="13.2" customHeight="1">
      <c r="E67" s="464" t="s">
        <v>2830</v>
      </c>
      <c r="H67" s="876"/>
      <c r="I67" s="493" t="s">
        <v>3354</v>
      </c>
      <c r="J67" s="996"/>
      <c r="K67" s="1048"/>
      <c r="O67" s="714" t="s">
        <v>3056</v>
      </c>
      <c r="Q67" s="953"/>
      <c r="R67" s="954"/>
      <c r="S67" s="955"/>
    </row>
    <row r="68" spans="2:19" s="458" customFormat="1" ht="13.2" customHeight="1">
      <c r="D68" s="508"/>
      <c r="E68" s="464" t="s">
        <v>3062</v>
      </c>
      <c r="H68" s="953"/>
      <c r="I68" s="955"/>
      <c r="J68" s="882"/>
      <c r="K68" s="719" t="s">
        <v>2833</v>
      </c>
      <c r="L68" s="980"/>
      <c r="M68" s="1048"/>
      <c r="N68" s="466" t="s">
        <v>3061</v>
      </c>
      <c r="O68" s="1023"/>
      <c r="P68" s="1024"/>
      <c r="Q68" s="1024"/>
      <c r="R68" s="1024"/>
      <c r="S68" s="1025"/>
    </row>
    <row r="69" spans="2:19" s="458" customFormat="1" ht="6.6" customHeight="1">
      <c r="D69" s="508"/>
      <c r="E69" s="721"/>
      <c r="F69" s="721"/>
      <c r="G69" s="714"/>
      <c r="H69" s="885"/>
      <c r="I69" s="885"/>
      <c r="J69" s="885"/>
      <c r="K69" s="719"/>
      <c r="L69" s="885"/>
      <c r="M69" s="885"/>
      <c r="N69" s="717"/>
      <c r="O69" s="884"/>
      <c r="P69" s="884"/>
      <c r="Q69" s="719"/>
      <c r="R69" s="884"/>
      <c r="S69" s="884"/>
    </row>
    <row r="70" spans="2:19" s="458" customFormat="1" ht="13.2" customHeight="1">
      <c r="B70" s="461" t="s">
        <v>1238</v>
      </c>
      <c r="C70" s="461" t="s">
        <v>2279</v>
      </c>
      <c r="H70" s="951"/>
      <c r="I70" s="1047"/>
      <c r="J70" s="1047"/>
      <c r="K70" s="1047"/>
      <c r="L70" s="1047"/>
      <c r="M70" s="1047"/>
      <c r="N70" s="1048"/>
      <c r="O70" s="714" t="s">
        <v>3067</v>
      </c>
      <c r="P70" s="714"/>
      <c r="Q70" s="951"/>
      <c r="R70" s="1047"/>
      <c r="S70" s="1048"/>
    </row>
    <row r="71" spans="2:19" s="458" customFormat="1" ht="13.2" customHeight="1">
      <c r="D71" s="508"/>
      <c r="E71" s="464" t="s">
        <v>1641</v>
      </c>
      <c r="F71" s="472"/>
      <c r="H71" s="951"/>
      <c r="I71" s="1047"/>
      <c r="J71" s="1047"/>
      <c r="K71" s="1047"/>
      <c r="L71" s="1047"/>
      <c r="M71" s="1047"/>
      <c r="N71" s="1048"/>
      <c r="O71" s="714" t="s">
        <v>2775</v>
      </c>
      <c r="Q71" s="951"/>
      <c r="R71" s="1047"/>
      <c r="S71" s="1048"/>
    </row>
    <row r="72" spans="2:19" s="458" customFormat="1" ht="13.2" customHeight="1">
      <c r="D72" s="508"/>
      <c r="E72" s="464" t="s">
        <v>953</v>
      </c>
      <c r="H72" s="951"/>
      <c r="I72" s="1047"/>
      <c r="J72" s="1048"/>
      <c r="O72" s="714" t="s">
        <v>2834</v>
      </c>
      <c r="Q72" s="953"/>
      <c r="R72" s="954"/>
      <c r="S72" s="955"/>
    </row>
    <row r="73" spans="2:19" s="458" customFormat="1" ht="13.2" customHeight="1">
      <c r="E73" s="464" t="s">
        <v>2830</v>
      </c>
      <c r="H73" s="876"/>
      <c r="I73" s="493" t="s">
        <v>3354</v>
      </c>
      <c r="J73" s="996"/>
      <c r="K73" s="1048"/>
      <c r="O73" s="714" t="s">
        <v>3056</v>
      </c>
      <c r="Q73" s="953"/>
      <c r="R73" s="954"/>
      <c r="S73" s="955"/>
    </row>
    <row r="74" spans="2:19" s="458" customFormat="1" ht="13.2" customHeight="1">
      <c r="D74" s="508"/>
      <c r="E74" s="464" t="s">
        <v>3062</v>
      </c>
      <c r="H74" s="953"/>
      <c r="I74" s="955"/>
      <c r="J74" s="882"/>
      <c r="K74" s="719" t="s">
        <v>2833</v>
      </c>
      <c r="L74" s="980"/>
      <c r="M74" s="1048"/>
      <c r="N74" s="466" t="s">
        <v>3061</v>
      </c>
      <c r="O74" s="1023"/>
      <c r="P74" s="1024"/>
      <c r="Q74" s="1024"/>
      <c r="R74" s="1024"/>
      <c r="S74" s="1025"/>
    </row>
    <row r="75" spans="2:19" ht="6.6" customHeight="1">
      <c r="H75" s="885"/>
      <c r="I75" s="885"/>
      <c r="J75" s="885"/>
      <c r="K75" s="719"/>
      <c r="L75" s="885"/>
      <c r="M75" s="885"/>
      <c r="N75" s="717"/>
      <c r="O75" s="884"/>
      <c r="P75" s="884"/>
      <c r="Q75" s="719"/>
      <c r="R75" s="884"/>
      <c r="S75" s="884"/>
    </row>
    <row r="76" spans="2:19" s="458" customFormat="1" ht="13.2" customHeight="1">
      <c r="B76" s="461" t="s">
        <v>3212</v>
      </c>
      <c r="C76" s="461" t="s">
        <v>377</v>
      </c>
      <c r="H76" s="951"/>
      <c r="I76" s="1047"/>
      <c r="J76" s="1047"/>
      <c r="K76" s="1047"/>
      <c r="L76" s="1047"/>
      <c r="M76" s="1047"/>
      <c r="N76" s="1048"/>
      <c r="O76" s="714" t="s">
        <v>3067</v>
      </c>
      <c r="P76" s="714"/>
      <c r="Q76" s="951"/>
      <c r="R76" s="1047"/>
      <c r="S76" s="1048"/>
    </row>
    <row r="77" spans="2:19" s="458" customFormat="1" ht="13.2" customHeight="1">
      <c r="D77" s="508"/>
      <c r="E77" s="464" t="s">
        <v>1641</v>
      </c>
      <c r="F77" s="472"/>
      <c r="H77" s="951"/>
      <c r="I77" s="1047"/>
      <c r="J77" s="1047"/>
      <c r="K77" s="1047"/>
      <c r="L77" s="1047"/>
      <c r="M77" s="1047"/>
      <c r="N77" s="1048"/>
      <c r="O77" s="714" t="s">
        <v>2775</v>
      </c>
      <c r="Q77" s="951"/>
      <c r="R77" s="1047"/>
      <c r="S77" s="1048"/>
    </row>
    <row r="78" spans="2:19" s="458" customFormat="1" ht="13.2" customHeight="1">
      <c r="D78" s="508"/>
      <c r="E78" s="464" t="s">
        <v>953</v>
      </c>
      <c r="H78" s="951"/>
      <c r="I78" s="1047"/>
      <c r="J78" s="1048"/>
      <c r="O78" s="714" t="s">
        <v>2834</v>
      </c>
      <c r="Q78" s="953"/>
      <c r="R78" s="954"/>
      <c r="S78" s="955"/>
    </row>
    <row r="79" spans="2:19" s="458" customFormat="1" ht="13.2" customHeight="1">
      <c r="E79" s="464" t="s">
        <v>2830</v>
      </c>
      <c r="H79" s="876"/>
      <c r="I79" s="493" t="s">
        <v>3354</v>
      </c>
      <c r="J79" s="996"/>
      <c r="K79" s="1048"/>
      <c r="O79" s="714" t="s">
        <v>3056</v>
      </c>
      <c r="Q79" s="953"/>
      <c r="R79" s="954"/>
      <c r="S79" s="955"/>
    </row>
    <row r="80" spans="2:19" s="458" customFormat="1" ht="13.2" customHeight="1">
      <c r="D80" s="508"/>
      <c r="E80" s="464" t="s">
        <v>3062</v>
      </c>
      <c r="H80" s="953"/>
      <c r="I80" s="955"/>
      <c r="J80" s="882"/>
      <c r="K80" s="719" t="s">
        <v>2833</v>
      </c>
      <c r="L80" s="980"/>
      <c r="M80" s="1048"/>
      <c r="N80" s="466" t="s">
        <v>3061</v>
      </c>
      <c r="O80" s="1023"/>
      <c r="P80" s="1024"/>
      <c r="Q80" s="1024"/>
      <c r="R80" s="1024"/>
      <c r="S80" s="1025"/>
    </row>
    <row r="81" spans="1:19" ht="13.2" customHeight="1"/>
    <row r="82" spans="1:19" s="464" customFormat="1" ht="13.2" customHeight="1">
      <c r="A82" s="465" t="s">
        <v>1231</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883"/>
      <c r="I83" s="883"/>
      <c r="J83" s="883"/>
      <c r="K83" s="717"/>
      <c r="L83" s="883"/>
      <c r="M83" s="883"/>
      <c r="N83" s="717"/>
      <c r="O83" s="884"/>
      <c r="P83" s="884"/>
      <c r="Q83" s="719"/>
      <c r="R83" s="884"/>
      <c r="S83" s="884"/>
    </row>
    <row r="84" spans="1:19" s="458" customFormat="1" ht="13.2" customHeight="1">
      <c r="B84" s="461" t="s">
        <v>3060</v>
      </c>
      <c r="C84" s="461" t="s">
        <v>379</v>
      </c>
      <c r="H84" s="951"/>
      <c r="I84" s="1047"/>
      <c r="J84" s="1047"/>
      <c r="K84" s="1047"/>
      <c r="L84" s="1047"/>
      <c r="M84" s="1047"/>
      <c r="N84" s="1048"/>
      <c r="O84" s="714" t="s">
        <v>3067</v>
      </c>
      <c r="P84" s="714"/>
      <c r="Q84" s="951"/>
      <c r="R84" s="1047"/>
      <c r="S84" s="1048"/>
    </row>
    <row r="85" spans="1:19" s="458" customFormat="1" ht="13.2" customHeight="1">
      <c r="D85" s="508"/>
      <c r="E85" s="464" t="s">
        <v>1641</v>
      </c>
      <c r="F85" s="472"/>
      <c r="H85" s="951"/>
      <c r="I85" s="1047"/>
      <c r="J85" s="1047"/>
      <c r="K85" s="1047"/>
      <c r="L85" s="1047"/>
      <c r="M85" s="1047"/>
      <c r="N85" s="1048"/>
      <c r="O85" s="714" t="s">
        <v>2775</v>
      </c>
      <c r="Q85" s="951"/>
      <c r="R85" s="1047"/>
      <c r="S85" s="1048"/>
    </row>
    <row r="86" spans="1:19" s="458" customFormat="1" ht="13.2" customHeight="1">
      <c r="D86" s="508"/>
      <c r="E86" s="464" t="s">
        <v>953</v>
      </c>
      <c r="H86" s="951"/>
      <c r="I86" s="1047"/>
      <c r="J86" s="1048"/>
      <c r="O86" s="714" t="s">
        <v>2834</v>
      </c>
      <c r="Q86" s="953"/>
      <c r="R86" s="954"/>
      <c r="S86" s="955"/>
    </row>
    <row r="87" spans="1:19" s="458" customFormat="1" ht="13.2" customHeight="1">
      <c r="E87" s="464" t="s">
        <v>2830</v>
      </c>
      <c r="H87" s="876"/>
      <c r="I87" s="493" t="s">
        <v>3354</v>
      </c>
      <c r="J87" s="996"/>
      <c r="K87" s="1048"/>
      <c r="O87" s="714" t="s">
        <v>3056</v>
      </c>
      <c r="Q87" s="953"/>
      <c r="R87" s="954"/>
      <c r="S87" s="955"/>
    </row>
    <row r="88" spans="1:19" s="458" customFormat="1" ht="13.2" customHeight="1">
      <c r="D88" s="508"/>
      <c r="E88" s="464" t="s">
        <v>3062</v>
      </c>
      <c r="H88" s="953"/>
      <c r="I88" s="955"/>
      <c r="J88" s="882"/>
      <c r="K88" s="719" t="s">
        <v>2833</v>
      </c>
      <c r="L88" s="980"/>
      <c r="M88" s="1048"/>
      <c r="N88" s="466" t="s">
        <v>3061</v>
      </c>
      <c r="O88" s="1023"/>
      <c r="P88" s="1024"/>
      <c r="Q88" s="1024"/>
      <c r="R88" s="1024"/>
      <c r="S88" s="1025"/>
    </row>
    <row r="89" spans="1:19" ht="6.6" customHeight="1">
      <c r="H89" s="885"/>
      <c r="I89" s="885"/>
      <c r="J89" s="885"/>
      <c r="K89" s="719"/>
      <c r="L89" s="885"/>
      <c r="M89" s="885"/>
      <c r="N89" s="717"/>
      <c r="O89" s="884"/>
      <c r="P89" s="884"/>
      <c r="Q89" s="719"/>
      <c r="R89" s="884"/>
      <c r="S89" s="884"/>
    </row>
    <row r="90" spans="1:19" s="458" customFormat="1" ht="13.2" customHeight="1">
      <c r="B90" s="461" t="s">
        <v>3063</v>
      </c>
      <c r="C90" s="461" t="s">
        <v>380</v>
      </c>
      <c r="H90" s="951" t="s">
        <v>3978</v>
      </c>
      <c r="I90" s="1047"/>
      <c r="J90" s="1047"/>
      <c r="K90" s="1047"/>
      <c r="L90" s="1047"/>
      <c r="M90" s="1047"/>
      <c r="N90" s="1048"/>
      <c r="O90" s="714" t="s">
        <v>3067</v>
      </c>
      <c r="P90" s="714"/>
      <c r="Q90" s="951" t="s">
        <v>3942</v>
      </c>
      <c r="R90" s="1047"/>
      <c r="S90" s="1048"/>
    </row>
    <row r="91" spans="1:19" s="458" customFormat="1" ht="13.2" customHeight="1">
      <c r="D91" s="508"/>
      <c r="E91" s="464" t="s">
        <v>1641</v>
      </c>
      <c r="F91" s="472"/>
      <c r="H91" s="951" t="s">
        <v>3940</v>
      </c>
      <c r="I91" s="1047"/>
      <c r="J91" s="1047"/>
      <c r="K91" s="1047"/>
      <c r="L91" s="1047"/>
      <c r="M91" s="1047"/>
      <c r="N91" s="1048"/>
      <c r="O91" s="714" t="s">
        <v>2775</v>
      </c>
      <c r="Q91" s="951" t="s">
        <v>3926</v>
      </c>
      <c r="R91" s="1047"/>
      <c r="S91" s="1048"/>
    </row>
    <row r="92" spans="1:19" s="458" customFormat="1" ht="13.2" customHeight="1">
      <c r="D92" s="508"/>
      <c r="E92" s="464" t="s">
        <v>953</v>
      </c>
      <c r="H92" s="951" t="s">
        <v>298</v>
      </c>
      <c r="I92" s="1047"/>
      <c r="J92" s="1048"/>
      <c r="O92" s="714" t="s">
        <v>2834</v>
      </c>
      <c r="Q92" s="953">
        <v>4788257754</v>
      </c>
      <c r="R92" s="954"/>
      <c r="S92" s="955"/>
    </row>
    <row r="93" spans="1:19" s="458" customFormat="1" ht="13.2" customHeight="1">
      <c r="E93" s="464" t="s">
        <v>2830</v>
      </c>
      <c r="H93" s="876" t="s">
        <v>1438</v>
      </c>
      <c r="I93" s="493" t="s">
        <v>3354</v>
      </c>
      <c r="J93" s="996">
        <v>310303731</v>
      </c>
      <c r="K93" s="1048"/>
      <c r="O93" s="714" t="s">
        <v>3056</v>
      </c>
      <c r="Q93" s="953">
        <v>4789559475</v>
      </c>
      <c r="R93" s="954"/>
      <c r="S93" s="955"/>
    </row>
    <row r="94" spans="1:19" s="458" customFormat="1" ht="13.2" customHeight="1">
      <c r="D94" s="508"/>
      <c r="E94" s="464" t="s">
        <v>3062</v>
      </c>
      <c r="H94" s="953">
        <v>4788257754</v>
      </c>
      <c r="I94" s="955"/>
      <c r="J94" s="882"/>
      <c r="K94" s="719" t="s">
        <v>2833</v>
      </c>
      <c r="L94" s="980">
        <v>4788250999</v>
      </c>
      <c r="M94" s="1048"/>
      <c r="N94" s="466" t="s">
        <v>3061</v>
      </c>
      <c r="O94" s="1023" t="s">
        <v>3943</v>
      </c>
      <c r="P94" s="1024"/>
      <c r="Q94" s="1024"/>
      <c r="R94" s="1024"/>
      <c r="S94" s="1025"/>
    </row>
    <row r="95" spans="1:19" ht="6.6" customHeight="1">
      <c r="H95" s="885"/>
      <c r="I95" s="885"/>
      <c r="J95" s="885"/>
      <c r="K95" s="719"/>
      <c r="L95" s="885"/>
      <c r="M95" s="885"/>
      <c r="N95" s="717"/>
      <c r="O95" s="884"/>
      <c r="P95" s="884"/>
      <c r="Q95" s="719"/>
      <c r="R95" s="884"/>
      <c r="S95" s="884"/>
    </row>
    <row r="96" spans="1:19" s="458" customFormat="1" ht="13.2" customHeight="1">
      <c r="B96" s="461" t="s">
        <v>1238</v>
      </c>
      <c r="C96" s="461" t="s">
        <v>381</v>
      </c>
      <c r="F96" s="482"/>
      <c r="H96" s="951" t="s">
        <v>3941</v>
      </c>
      <c r="I96" s="1047"/>
      <c r="J96" s="1047"/>
      <c r="K96" s="1047"/>
      <c r="L96" s="1047"/>
      <c r="M96" s="1047"/>
      <c r="N96" s="1048"/>
      <c r="O96" s="714" t="s">
        <v>3067</v>
      </c>
      <c r="P96" s="714"/>
      <c r="Q96" s="951" t="s">
        <v>3934</v>
      </c>
      <c r="R96" s="1047"/>
      <c r="S96" s="1048"/>
    </row>
    <row r="97" spans="2:19" s="458" customFormat="1" ht="13.2" customHeight="1">
      <c r="D97" s="508"/>
      <c r="E97" s="464" t="s">
        <v>1641</v>
      </c>
      <c r="F97" s="472"/>
      <c r="H97" s="951" t="s">
        <v>3936</v>
      </c>
      <c r="I97" s="1047"/>
      <c r="J97" s="1047"/>
      <c r="K97" s="1047"/>
      <c r="L97" s="1047"/>
      <c r="M97" s="1047"/>
      <c r="N97" s="1048"/>
      <c r="O97" s="714" t="s">
        <v>2775</v>
      </c>
      <c r="Q97" s="951" t="s">
        <v>3926</v>
      </c>
      <c r="R97" s="1047"/>
      <c r="S97" s="1048"/>
    </row>
    <row r="98" spans="2:19" s="458" customFormat="1" ht="13.2" customHeight="1">
      <c r="D98" s="508"/>
      <c r="E98" s="464" t="s">
        <v>953</v>
      </c>
      <c r="H98" s="951" t="s">
        <v>3933</v>
      </c>
      <c r="I98" s="1047"/>
      <c r="J98" s="1048"/>
      <c r="O98" s="714" t="s">
        <v>2834</v>
      </c>
      <c r="Q98" s="953"/>
      <c r="R98" s="954"/>
      <c r="S98" s="955"/>
    </row>
    <row r="99" spans="2:19" s="458" customFormat="1" ht="13.2" customHeight="1">
      <c r="D99" s="508"/>
      <c r="E99" s="464" t="s">
        <v>2830</v>
      </c>
      <c r="H99" s="876" t="s">
        <v>2043</v>
      </c>
      <c r="I99" s="493" t="s">
        <v>3354</v>
      </c>
      <c r="J99" s="996">
        <v>652034905</v>
      </c>
      <c r="K99" s="1048"/>
      <c r="O99" s="714" t="s">
        <v>3056</v>
      </c>
      <c r="Q99" s="953">
        <v>5734248811</v>
      </c>
      <c r="R99" s="954"/>
      <c r="S99" s="955"/>
    </row>
    <row r="100" spans="2:19" s="458" customFormat="1" ht="13.2" customHeight="1">
      <c r="D100" s="508"/>
      <c r="E100" s="464" t="s">
        <v>3062</v>
      </c>
      <c r="H100" s="953">
        <v>5734432021</v>
      </c>
      <c r="I100" s="955"/>
      <c r="J100" s="882"/>
      <c r="K100" s="719" t="s">
        <v>2833</v>
      </c>
      <c r="L100" s="980">
        <v>5738747116</v>
      </c>
      <c r="M100" s="1048"/>
      <c r="N100" s="466" t="s">
        <v>3061</v>
      </c>
      <c r="O100" s="1023" t="s">
        <v>3935</v>
      </c>
      <c r="P100" s="1024"/>
      <c r="Q100" s="1024"/>
      <c r="R100" s="1024"/>
      <c r="S100" s="1025"/>
    </row>
    <row r="101" spans="2:19" ht="6.6" customHeight="1">
      <c r="H101" s="885"/>
      <c r="I101" s="885"/>
      <c r="J101" s="885"/>
      <c r="K101" s="719"/>
      <c r="L101" s="885"/>
      <c r="M101" s="885"/>
      <c r="N101" s="717"/>
      <c r="O101" s="884"/>
      <c r="P101" s="884"/>
      <c r="Q101" s="719"/>
      <c r="R101" s="884"/>
      <c r="S101" s="884"/>
    </row>
    <row r="102" spans="2:19" s="458" customFormat="1" ht="13.2" customHeight="1">
      <c r="B102" s="461" t="s">
        <v>3212</v>
      </c>
      <c r="C102" s="461" t="s">
        <v>382</v>
      </c>
      <c r="H102" s="951" t="s">
        <v>3944</v>
      </c>
      <c r="I102" s="1047"/>
      <c r="J102" s="1047"/>
      <c r="K102" s="1047"/>
      <c r="L102" s="1047"/>
      <c r="M102" s="1047"/>
      <c r="N102" s="1048"/>
      <c r="O102" s="714" t="s">
        <v>3067</v>
      </c>
      <c r="P102" s="714"/>
      <c r="Q102" s="951" t="s">
        <v>3946</v>
      </c>
      <c r="R102" s="1047"/>
      <c r="S102" s="1048"/>
    </row>
    <row r="103" spans="2:19" s="458" customFormat="1" ht="13.2" customHeight="1">
      <c r="D103" s="508"/>
      <c r="E103" s="464" t="s">
        <v>1641</v>
      </c>
      <c r="F103" s="472"/>
      <c r="H103" s="951" t="s">
        <v>4023</v>
      </c>
      <c r="I103" s="1047"/>
      <c r="J103" s="1047"/>
      <c r="K103" s="1047"/>
      <c r="L103" s="1047"/>
      <c r="M103" s="1047"/>
      <c r="N103" s="1048"/>
      <c r="O103" s="714" t="s">
        <v>2775</v>
      </c>
      <c r="Q103" s="951" t="s">
        <v>3947</v>
      </c>
      <c r="R103" s="1047"/>
      <c r="S103" s="1048"/>
    </row>
    <row r="104" spans="2:19" s="458" customFormat="1" ht="13.2" customHeight="1">
      <c r="D104" s="508"/>
      <c r="E104" s="464" t="s">
        <v>953</v>
      </c>
      <c r="H104" s="951" t="s">
        <v>3945</v>
      </c>
      <c r="I104" s="1047"/>
      <c r="J104" s="1048"/>
      <c r="O104" s="714" t="s">
        <v>2834</v>
      </c>
      <c r="Q104" s="953">
        <v>4048988244</v>
      </c>
      <c r="R104" s="954"/>
      <c r="S104" s="955"/>
    </row>
    <row r="105" spans="2:19" s="458" customFormat="1" ht="13.2" customHeight="1">
      <c r="D105" s="508"/>
      <c r="E105" s="464" t="s">
        <v>2830</v>
      </c>
      <c r="H105" s="876" t="s">
        <v>1438</v>
      </c>
      <c r="I105" s="493" t="s">
        <v>3354</v>
      </c>
      <c r="J105" s="996">
        <v>303631032</v>
      </c>
      <c r="K105" s="1048"/>
      <c r="O105" s="714" t="s">
        <v>3056</v>
      </c>
      <c r="Q105" s="953"/>
      <c r="R105" s="954"/>
      <c r="S105" s="955"/>
    </row>
    <row r="106" spans="2:19" ht="13.2" customHeight="1">
      <c r="E106" s="464" t="s">
        <v>3062</v>
      </c>
      <c r="F106" s="458"/>
      <c r="G106" s="458"/>
      <c r="H106" s="953">
        <v>4048738152</v>
      </c>
      <c r="I106" s="955"/>
      <c r="J106" s="882"/>
      <c r="K106" s="719" t="s">
        <v>2833</v>
      </c>
      <c r="L106" s="980">
        <v>4048738153</v>
      </c>
      <c r="M106" s="1048"/>
      <c r="N106" s="466" t="s">
        <v>3061</v>
      </c>
      <c r="O106" s="1023" t="s">
        <v>4024</v>
      </c>
      <c r="P106" s="1024"/>
      <c r="Q106" s="1024"/>
      <c r="R106" s="1024"/>
      <c r="S106" s="1025"/>
    </row>
    <row r="107" spans="2:19" ht="6" customHeight="1">
      <c r="E107" s="464"/>
      <c r="F107" s="458"/>
      <c r="G107" s="458"/>
      <c r="H107" s="458"/>
      <c r="I107" s="458"/>
      <c r="J107" s="458"/>
      <c r="K107" s="458"/>
      <c r="L107" s="458"/>
      <c r="M107" s="458"/>
      <c r="N107" s="458"/>
      <c r="O107" s="458"/>
      <c r="P107" s="458"/>
      <c r="Q107" s="719"/>
      <c r="R107" s="719"/>
      <c r="S107" s="887"/>
    </row>
    <row r="108" spans="2:19" ht="0.6" customHeight="1">
      <c r="E108" s="464"/>
      <c r="F108" s="458"/>
      <c r="G108" s="721"/>
      <c r="H108" s="883"/>
      <c r="I108" s="883"/>
      <c r="J108" s="883"/>
      <c r="K108" s="717"/>
      <c r="L108" s="883"/>
      <c r="M108" s="883"/>
      <c r="N108" s="717"/>
      <c r="O108" s="884"/>
      <c r="P108" s="884"/>
      <c r="Q108" s="719"/>
      <c r="R108" s="884"/>
      <c r="S108" s="884"/>
    </row>
    <row r="109" spans="2:19" s="458" customFormat="1" ht="13.2" customHeight="1">
      <c r="B109" s="461" t="s">
        <v>2762</v>
      </c>
      <c r="C109" s="461" t="s">
        <v>383</v>
      </c>
      <c r="H109" s="951" t="s">
        <v>3948</v>
      </c>
      <c r="I109" s="1047"/>
      <c r="J109" s="1047"/>
      <c r="K109" s="1047"/>
      <c r="L109" s="1047"/>
      <c r="M109" s="1047"/>
      <c r="N109" s="1048"/>
      <c r="O109" s="714" t="s">
        <v>3067</v>
      </c>
      <c r="P109" s="714"/>
      <c r="Q109" s="951" t="s">
        <v>3950</v>
      </c>
      <c r="R109" s="1047"/>
      <c r="S109" s="1048"/>
    </row>
    <row r="110" spans="2:19" s="458" customFormat="1" ht="13.2" customHeight="1">
      <c r="D110" s="508"/>
      <c r="E110" s="464" t="s">
        <v>1641</v>
      </c>
      <c r="F110" s="472"/>
      <c r="H110" s="951" t="s">
        <v>3949</v>
      </c>
      <c r="I110" s="1047"/>
      <c r="J110" s="1047"/>
      <c r="K110" s="1047"/>
      <c r="L110" s="1047"/>
      <c r="M110" s="1047"/>
      <c r="N110" s="1048"/>
      <c r="O110" s="714" t="s">
        <v>2775</v>
      </c>
      <c r="Q110" s="951" t="s">
        <v>3951</v>
      </c>
      <c r="R110" s="1047"/>
      <c r="S110" s="1048"/>
    </row>
    <row r="111" spans="2:19" s="458" customFormat="1" ht="13.2" customHeight="1">
      <c r="D111" s="508"/>
      <c r="E111" s="464" t="s">
        <v>953</v>
      </c>
      <c r="H111" s="951" t="s">
        <v>1866</v>
      </c>
      <c r="I111" s="1047"/>
      <c r="J111" s="1048"/>
      <c r="O111" s="714" t="s">
        <v>2834</v>
      </c>
      <c r="Q111" s="953">
        <v>4048988244</v>
      </c>
      <c r="R111" s="954"/>
      <c r="S111" s="955"/>
    </row>
    <row r="112" spans="2:19" s="458" customFormat="1" ht="13.2" customHeight="1">
      <c r="D112" s="508"/>
      <c r="E112" s="464" t="s">
        <v>2830</v>
      </c>
      <c r="H112" s="876" t="s">
        <v>1438</v>
      </c>
      <c r="I112" s="493" t="s">
        <v>3354</v>
      </c>
      <c r="J112" s="996">
        <v>303286157</v>
      </c>
      <c r="K112" s="1048"/>
      <c r="O112" s="714" t="s">
        <v>3056</v>
      </c>
      <c r="Q112" s="953"/>
      <c r="R112" s="954"/>
      <c r="S112" s="955"/>
    </row>
    <row r="113" spans="1:19" ht="13.2" customHeight="1">
      <c r="E113" s="464" t="s">
        <v>3062</v>
      </c>
      <c r="F113" s="458"/>
      <c r="G113" s="458"/>
      <c r="H113" s="953">
        <v>4048988244</v>
      </c>
      <c r="I113" s="955"/>
      <c r="J113" s="882"/>
      <c r="K113" s="719" t="s">
        <v>2833</v>
      </c>
      <c r="L113" s="980">
        <v>4048763913</v>
      </c>
      <c r="M113" s="1048"/>
      <c r="N113" s="466" t="s">
        <v>3061</v>
      </c>
      <c r="O113" s="1023" t="s">
        <v>3952</v>
      </c>
      <c r="P113" s="1024"/>
      <c r="Q113" s="1024"/>
      <c r="R113" s="1024"/>
      <c r="S113" s="1025"/>
    </row>
    <row r="114" spans="1:19" ht="6.6" customHeight="1">
      <c r="E114" s="464"/>
      <c r="F114" s="458"/>
      <c r="G114" s="721"/>
      <c r="H114" s="885"/>
      <c r="I114" s="885"/>
      <c r="J114" s="885"/>
      <c r="K114" s="719"/>
      <c r="L114" s="885"/>
      <c r="M114" s="885"/>
      <c r="N114" s="717"/>
      <c r="O114" s="884"/>
      <c r="P114" s="884"/>
      <c r="Q114" s="719"/>
      <c r="R114" s="884"/>
      <c r="S114" s="884"/>
    </row>
    <row r="115" spans="1:19" s="458" customFormat="1" ht="13.2" customHeight="1">
      <c r="B115" s="461" t="s">
        <v>2763</v>
      </c>
      <c r="C115" s="461" t="s">
        <v>384</v>
      </c>
      <c r="H115" s="951" t="s">
        <v>3953</v>
      </c>
      <c r="I115" s="1047"/>
      <c r="J115" s="1047"/>
      <c r="K115" s="1047"/>
      <c r="L115" s="1047"/>
      <c r="M115" s="1047"/>
      <c r="N115" s="1048"/>
      <c r="O115" s="714" t="s">
        <v>3067</v>
      </c>
      <c r="P115" s="714"/>
      <c r="Q115" s="951" t="s">
        <v>3954</v>
      </c>
      <c r="R115" s="1047"/>
      <c r="S115" s="1048"/>
    </row>
    <row r="116" spans="1:19" s="458" customFormat="1" ht="13.2" customHeight="1">
      <c r="D116" s="508"/>
      <c r="E116" s="464" t="s">
        <v>1641</v>
      </c>
      <c r="F116" s="472"/>
      <c r="H116" s="951" t="s">
        <v>3956</v>
      </c>
      <c r="I116" s="1047"/>
      <c r="J116" s="1047"/>
      <c r="K116" s="1047"/>
      <c r="L116" s="1047"/>
      <c r="M116" s="1047"/>
      <c r="N116" s="1048"/>
      <c r="O116" s="714" t="s">
        <v>2775</v>
      </c>
      <c r="Q116" s="951" t="s">
        <v>3955</v>
      </c>
      <c r="R116" s="1047"/>
      <c r="S116" s="1048"/>
    </row>
    <row r="117" spans="1:19" s="458" customFormat="1" ht="13.2" customHeight="1">
      <c r="D117" s="508"/>
      <c r="E117" s="464" t="s">
        <v>953</v>
      </c>
      <c r="H117" s="951" t="s">
        <v>3957</v>
      </c>
      <c r="I117" s="1047"/>
      <c r="J117" s="1048"/>
      <c r="O117" s="714" t="s">
        <v>2834</v>
      </c>
      <c r="Q117" s="953"/>
      <c r="R117" s="954"/>
      <c r="S117" s="955"/>
    </row>
    <row r="118" spans="1:19" s="458" customFormat="1" ht="13.2" customHeight="1">
      <c r="D118" s="513"/>
      <c r="E118" s="464" t="s">
        <v>2830</v>
      </c>
      <c r="H118" s="876" t="s">
        <v>2043</v>
      </c>
      <c r="I118" s="493" t="s">
        <v>3354</v>
      </c>
      <c r="J118" s="996">
        <v>653012479</v>
      </c>
      <c r="K118" s="1048"/>
      <c r="O118" s="714" t="s">
        <v>3056</v>
      </c>
      <c r="Q118" s="953">
        <v>5739997062</v>
      </c>
      <c r="R118" s="954"/>
      <c r="S118" s="955"/>
    </row>
    <row r="119" spans="1:19" s="458" customFormat="1" ht="13.2" customHeight="1">
      <c r="D119" s="513"/>
      <c r="E119" s="464" t="s">
        <v>3062</v>
      </c>
      <c r="H119" s="953">
        <v>6608267000</v>
      </c>
      <c r="I119" s="955"/>
      <c r="J119" s="882"/>
      <c r="K119" s="719" t="s">
        <v>2833</v>
      </c>
      <c r="L119" s="980">
        <v>6608267666</v>
      </c>
      <c r="M119" s="1048"/>
      <c r="N119" s="466" t="s">
        <v>3061</v>
      </c>
      <c r="O119" s="1023" t="s">
        <v>3958</v>
      </c>
      <c r="P119" s="1024"/>
      <c r="Q119" s="1024"/>
      <c r="R119" s="1024"/>
      <c r="S119" s="1025"/>
    </row>
    <row r="120" spans="1:19" ht="13.2" customHeight="1"/>
    <row r="121" spans="1:19" s="458" customFormat="1" ht="13.2" customHeight="1">
      <c r="A121" s="461" t="s">
        <v>2823</v>
      </c>
      <c r="B121" s="461" t="s">
        <v>3919</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1056" t="s">
        <v>976</v>
      </c>
      <c r="B123" s="1057"/>
      <c r="C123" s="1057"/>
      <c r="D123" s="1058"/>
      <c r="E123" s="1065" t="s">
        <v>3543</v>
      </c>
      <c r="F123" s="1070" t="s">
        <v>3536</v>
      </c>
      <c r="G123" s="1074" t="s">
        <v>3537</v>
      </c>
      <c r="H123" s="1075"/>
      <c r="I123" s="1076"/>
      <c r="J123" s="1074" t="s">
        <v>3538</v>
      </c>
      <c r="K123" s="1083"/>
      <c r="L123" s="1074" t="s">
        <v>3539</v>
      </c>
      <c r="M123" s="1088"/>
      <c r="N123" s="1074" t="s">
        <v>3540</v>
      </c>
      <c r="O123" s="1076"/>
      <c r="P123" s="1074" t="s">
        <v>3541</v>
      </c>
      <c r="Q123" s="1076"/>
      <c r="R123" s="1074" t="s">
        <v>3542</v>
      </c>
      <c r="S123" s="1099"/>
    </row>
    <row r="124" spans="1:19" s="458" customFormat="1" ht="21.6" customHeight="1">
      <c r="A124" s="1059"/>
      <c r="B124" s="1060"/>
      <c r="C124" s="1060"/>
      <c r="D124" s="1061"/>
      <c r="E124" s="1066"/>
      <c r="F124" s="1071"/>
      <c r="G124" s="1077"/>
      <c r="H124" s="1078"/>
      <c r="I124" s="1079"/>
      <c r="J124" s="1084"/>
      <c r="K124" s="1085"/>
      <c r="L124" s="1077"/>
      <c r="M124" s="1089"/>
      <c r="N124" s="1077"/>
      <c r="O124" s="1079"/>
      <c r="P124" s="1077"/>
      <c r="Q124" s="1079"/>
      <c r="R124" s="1077"/>
      <c r="S124" s="1100"/>
    </row>
    <row r="125" spans="1:19" s="458" customFormat="1" ht="21.6" customHeight="1">
      <c r="A125" s="1059"/>
      <c r="B125" s="1060"/>
      <c r="C125" s="1060"/>
      <c r="D125" s="1061"/>
      <c r="E125" s="1066"/>
      <c r="F125" s="1072"/>
      <c r="G125" s="1077"/>
      <c r="H125" s="1078"/>
      <c r="I125" s="1079"/>
      <c r="J125" s="1084"/>
      <c r="K125" s="1085"/>
      <c r="L125" s="1090"/>
      <c r="M125" s="1089"/>
      <c r="N125" s="1077"/>
      <c r="O125" s="1079"/>
      <c r="P125" s="1077"/>
      <c r="Q125" s="1079"/>
      <c r="R125" s="1101"/>
      <c r="S125" s="1100"/>
    </row>
    <row r="126" spans="1:19" s="458" customFormat="1" ht="21.6" customHeight="1">
      <c r="A126" s="1059"/>
      <c r="B126" s="1060"/>
      <c r="C126" s="1060"/>
      <c r="D126" s="1061"/>
      <c r="E126" s="1066"/>
      <c r="F126" s="1072"/>
      <c r="G126" s="1077"/>
      <c r="H126" s="1078"/>
      <c r="I126" s="1079"/>
      <c r="J126" s="1084"/>
      <c r="K126" s="1085"/>
      <c r="L126" s="1090"/>
      <c r="M126" s="1089"/>
      <c r="N126" s="1077"/>
      <c r="O126" s="1079"/>
      <c r="P126" s="1077"/>
      <c r="Q126" s="1079"/>
      <c r="R126" s="1101"/>
      <c r="S126" s="1100"/>
    </row>
    <row r="127" spans="1:19" s="458" customFormat="1" ht="21.6" customHeight="1">
      <c r="A127" s="1062"/>
      <c r="B127" s="1063"/>
      <c r="C127" s="1063"/>
      <c r="D127" s="1064"/>
      <c r="E127" s="1067"/>
      <c r="F127" s="1073"/>
      <c r="G127" s="1080"/>
      <c r="H127" s="1081"/>
      <c r="I127" s="1082"/>
      <c r="J127" s="1086"/>
      <c r="K127" s="1087"/>
      <c r="L127" s="1091"/>
      <c r="M127" s="1092"/>
      <c r="N127" s="1080"/>
      <c r="O127" s="1082"/>
      <c r="P127" s="1080"/>
      <c r="Q127" s="1082"/>
      <c r="R127" s="1102"/>
      <c r="S127" s="1103"/>
    </row>
    <row r="128" spans="1:19" s="458" customFormat="1" ht="13.95" customHeight="1">
      <c r="A128" s="723" t="s">
        <v>3535</v>
      </c>
      <c r="B128" s="724"/>
      <c r="C128" s="724"/>
      <c r="D128" s="725"/>
      <c r="E128" s="888" t="s">
        <v>3965</v>
      </c>
      <c r="F128" s="888" t="s">
        <v>3965</v>
      </c>
      <c r="G128" s="1093" t="s">
        <v>3965</v>
      </c>
      <c r="H128" s="1104"/>
      <c r="I128" s="1094"/>
      <c r="J128" s="1093" t="s">
        <v>3963</v>
      </c>
      <c r="K128" s="1094"/>
      <c r="L128" s="1093" t="s">
        <v>3965</v>
      </c>
      <c r="M128" s="1094"/>
      <c r="N128" s="1093" t="s">
        <v>3965</v>
      </c>
      <c r="O128" s="1094"/>
      <c r="P128" s="1095" t="s">
        <v>3979</v>
      </c>
      <c r="Q128" s="1096"/>
      <c r="R128" s="1097">
        <v>1E-4</v>
      </c>
      <c r="S128" s="1098"/>
    </row>
    <row r="129" spans="1:19" s="458" customFormat="1" ht="13.95" customHeight="1">
      <c r="A129" s="720" t="s">
        <v>3525</v>
      </c>
      <c r="B129" s="721"/>
      <c r="C129" s="721"/>
      <c r="D129" s="722"/>
      <c r="E129" s="889"/>
      <c r="F129" s="889"/>
      <c r="G129" s="1109"/>
      <c r="H129" s="1110"/>
      <c r="I129" s="1111"/>
      <c r="J129" s="1109"/>
      <c r="K129" s="1111"/>
      <c r="L129" s="1109"/>
      <c r="M129" s="1111"/>
      <c r="N129" s="1109"/>
      <c r="O129" s="1111"/>
      <c r="P129" s="1105"/>
      <c r="Q129" s="1106"/>
      <c r="R129" s="1107"/>
      <c r="S129" s="1108"/>
    </row>
    <row r="130" spans="1:19" s="458" customFormat="1" ht="13.95" customHeight="1">
      <c r="A130" s="720" t="s">
        <v>3526</v>
      </c>
      <c r="B130" s="721"/>
      <c r="C130" s="721"/>
      <c r="D130" s="722"/>
      <c r="E130" s="889"/>
      <c r="F130" s="889"/>
      <c r="G130" s="1109"/>
      <c r="H130" s="1110"/>
      <c r="I130" s="1111"/>
      <c r="J130" s="1109"/>
      <c r="K130" s="1111"/>
      <c r="L130" s="1109"/>
      <c r="M130" s="1111"/>
      <c r="N130" s="1109"/>
      <c r="O130" s="1111"/>
      <c r="P130" s="1105"/>
      <c r="Q130" s="1106"/>
      <c r="R130" s="1107"/>
      <c r="S130" s="1108"/>
    </row>
    <row r="131" spans="1:19" s="458" customFormat="1" ht="13.95" customHeight="1">
      <c r="A131" s="720" t="s">
        <v>3527</v>
      </c>
      <c r="B131" s="721"/>
      <c r="C131" s="721"/>
      <c r="D131" s="722"/>
      <c r="E131" s="889" t="s">
        <v>3965</v>
      </c>
      <c r="F131" s="889" t="s">
        <v>3965</v>
      </c>
      <c r="G131" s="1109" t="s">
        <v>3965</v>
      </c>
      <c r="H131" s="1110"/>
      <c r="I131" s="1111"/>
      <c r="J131" s="1109" t="s">
        <v>3963</v>
      </c>
      <c r="K131" s="1111"/>
      <c r="L131" s="1109" t="s">
        <v>3965</v>
      </c>
      <c r="M131" s="1111"/>
      <c r="N131" s="1109" t="s">
        <v>3965</v>
      </c>
      <c r="O131" s="1111"/>
      <c r="P131" s="1105" t="s">
        <v>3979</v>
      </c>
      <c r="Q131" s="1106"/>
      <c r="R131" s="1107">
        <v>0.99980000000000002</v>
      </c>
      <c r="S131" s="1108"/>
    </row>
    <row r="132" spans="1:19" s="458" customFormat="1" ht="13.95" customHeight="1">
      <c r="A132" s="720" t="s">
        <v>3528</v>
      </c>
      <c r="B132" s="721"/>
      <c r="C132" s="721"/>
      <c r="D132" s="722"/>
      <c r="E132" s="889" t="s">
        <v>3965</v>
      </c>
      <c r="F132" s="889" t="s">
        <v>3965</v>
      </c>
      <c r="G132" s="1109" t="s">
        <v>3965</v>
      </c>
      <c r="H132" s="1110"/>
      <c r="I132" s="1111"/>
      <c r="J132" s="1109" t="s">
        <v>3963</v>
      </c>
      <c r="K132" s="1111"/>
      <c r="L132" s="1109" t="s">
        <v>3965</v>
      </c>
      <c r="M132" s="1111"/>
      <c r="N132" s="1109" t="s">
        <v>3965</v>
      </c>
      <c r="O132" s="1111"/>
      <c r="P132" s="1105" t="s">
        <v>3979</v>
      </c>
      <c r="Q132" s="1106"/>
      <c r="R132" s="1107">
        <v>1E-4</v>
      </c>
      <c r="S132" s="1108"/>
    </row>
    <row r="133" spans="1:19" s="458" customFormat="1" ht="13.95" customHeight="1">
      <c r="A133" s="720" t="s">
        <v>3529</v>
      </c>
      <c r="B133" s="721"/>
      <c r="C133" s="721"/>
      <c r="D133" s="722"/>
      <c r="E133" s="889"/>
      <c r="F133" s="889"/>
      <c r="G133" s="1109"/>
      <c r="H133" s="1110"/>
      <c r="I133" s="1111"/>
      <c r="J133" s="1109"/>
      <c r="K133" s="1111"/>
      <c r="L133" s="1109"/>
      <c r="M133" s="1111"/>
      <c r="N133" s="1109"/>
      <c r="O133" s="1111"/>
      <c r="P133" s="1105"/>
      <c r="Q133" s="1106"/>
      <c r="R133" s="1107"/>
      <c r="S133" s="1108"/>
    </row>
    <row r="134" spans="1:19" s="458" customFormat="1" ht="13.95" customHeight="1">
      <c r="A134" s="720" t="s">
        <v>996</v>
      </c>
      <c r="B134" s="721"/>
      <c r="C134" s="721"/>
      <c r="D134" s="722"/>
      <c r="E134" s="889" t="s">
        <v>3965</v>
      </c>
      <c r="F134" s="889" t="s">
        <v>3965</v>
      </c>
      <c r="G134" s="1109" t="s">
        <v>3965</v>
      </c>
      <c r="H134" s="1110"/>
      <c r="I134" s="1111"/>
      <c r="J134" s="1109" t="s">
        <v>3963</v>
      </c>
      <c r="K134" s="1111"/>
      <c r="L134" s="1109" t="s">
        <v>3965</v>
      </c>
      <c r="M134" s="1111"/>
      <c r="N134" s="1109" t="s">
        <v>3965</v>
      </c>
      <c r="O134" s="1111"/>
      <c r="P134" s="1105" t="s">
        <v>3979</v>
      </c>
      <c r="Q134" s="1106"/>
      <c r="R134" s="1107">
        <v>0</v>
      </c>
      <c r="S134" s="1108"/>
    </row>
    <row r="135" spans="1:19" s="458" customFormat="1" ht="13.95" customHeight="1">
      <c r="A135" s="720" t="s">
        <v>3530</v>
      </c>
      <c r="B135" s="721"/>
      <c r="C135" s="721"/>
      <c r="D135" s="722"/>
      <c r="E135" s="889"/>
      <c r="F135" s="889"/>
      <c r="G135" s="1109"/>
      <c r="H135" s="1110"/>
      <c r="I135" s="1111"/>
      <c r="J135" s="1109"/>
      <c r="K135" s="1111"/>
      <c r="L135" s="1109"/>
      <c r="M135" s="1111"/>
      <c r="N135" s="1109"/>
      <c r="O135" s="1111"/>
      <c r="P135" s="1105"/>
      <c r="Q135" s="1106"/>
      <c r="R135" s="1107"/>
      <c r="S135" s="1108"/>
    </row>
    <row r="136" spans="1:19" s="458" customFormat="1" ht="13.95" customHeight="1">
      <c r="A136" s="720" t="s">
        <v>3531</v>
      </c>
      <c r="B136" s="721"/>
      <c r="C136" s="721"/>
      <c r="D136" s="722"/>
      <c r="E136" s="889"/>
      <c r="F136" s="889"/>
      <c r="G136" s="1109"/>
      <c r="H136" s="1110"/>
      <c r="I136" s="1111"/>
      <c r="J136" s="1109"/>
      <c r="K136" s="1111"/>
      <c r="L136" s="1109"/>
      <c r="M136" s="1111"/>
      <c r="N136" s="1109"/>
      <c r="O136" s="1111"/>
      <c r="P136" s="1105"/>
      <c r="Q136" s="1106"/>
      <c r="R136" s="1107"/>
      <c r="S136" s="1108"/>
    </row>
    <row r="137" spans="1:19" s="458" customFormat="1" ht="13.95" customHeight="1">
      <c r="A137" s="720" t="s">
        <v>3532</v>
      </c>
      <c r="B137" s="721"/>
      <c r="C137" s="721"/>
      <c r="D137" s="722"/>
      <c r="E137" s="889"/>
      <c r="F137" s="889"/>
      <c r="G137" s="1109"/>
      <c r="H137" s="1110"/>
      <c r="I137" s="1111"/>
      <c r="J137" s="1109"/>
      <c r="K137" s="1111"/>
      <c r="L137" s="1109"/>
      <c r="M137" s="1111"/>
      <c r="N137" s="1109"/>
      <c r="O137" s="1111"/>
      <c r="P137" s="1105"/>
      <c r="Q137" s="1106"/>
      <c r="R137" s="1107"/>
      <c r="S137" s="1108"/>
    </row>
    <row r="138" spans="1:19" s="458" customFormat="1" ht="13.95" customHeight="1">
      <c r="A138" s="720" t="s">
        <v>3533</v>
      </c>
      <c r="B138" s="721"/>
      <c r="C138" s="721"/>
      <c r="D138" s="722"/>
      <c r="E138" s="889"/>
      <c r="F138" s="889"/>
      <c r="G138" s="1109"/>
      <c r="H138" s="1110"/>
      <c r="I138" s="1111"/>
      <c r="J138" s="1109"/>
      <c r="K138" s="1111"/>
      <c r="L138" s="1109"/>
      <c r="M138" s="1111"/>
      <c r="N138" s="1109"/>
      <c r="O138" s="1111"/>
      <c r="P138" s="1105"/>
      <c r="Q138" s="1106"/>
      <c r="R138" s="1107"/>
      <c r="S138" s="1108"/>
    </row>
    <row r="139" spans="1:19" s="458" customFormat="1" ht="13.95" customHeight="1">
      <c r="A139" s="720" t="s">
        <v>2280</v>
      </c>
      <c r="B139" s="721"/>
      <c r="C139" s="721"/>
      <c r="D139" s="722"/>
      <c r="E139" s="889" t="s">
        <v>3965</v>
      </c>
      <c r="F139" s="889" t="s">
        <v>3965</v>
      </c>
      <c r="G139" s="1109" t="s">
        <v>3965</v>
      </c>
      <c r="H139" s="1110"/>
      <c r="I139" s="1111"/>
      <c r="J139" s="1109" t="s">
        <v>3963</v>
      </c>
      <c r="K139" s="1111"/>
      <c r="L139" s="1109" t="s">
        <v>3965</v>
      </c>
      <c r="M139" s="1111"/>
      <c r="N139" s="1109" t="s">
        <v>3965</v>
      </c>
      <c r="O139" s="1111"/>
      <c r="P139" s="1105" t="s">
        <v>3979</v>
      </c>
      <c r="Q139" s="1106"/>
      <c r="R139" s="1107">
        <v>0</v>
      </c>
      <c r="S139" s="1108"/>
    </row>
    <row r="140" spans="1:19" s="458" customFormat="1" ht="13.95" customHeight="1">
      <c r="A140" s="726" t="s">
        <v>3534</v>
      </c>
      <c r="B140" s="727"/>
      <c r="C140" s="727"/>
      <c r="D140" s="514"/>
      <c r="E140" s="889" t="s">
        <v>3965</v>
      </c>
      <c r="F140" s="889" t="s">
        <v>3965</v>
      </c>
      <c r="G140" s="1109" t="s">
        <v>3965</v>
      </c>
      <c r="H140" s="1110"/>
      <c r="I140" s="1111"/>
      <c r="J140" s="1118" t="s">
        <v>3963</v>
      </c>
      <c r="K140" s="1119"/>
      <c r="L140" s="1118" t="s">
        <v>3965</v>
      </c>
      <c r="M140" s="1119"/>
      <c r="N140" s="1118" t="s">
        <v>3965</v>
      </c>
      <c r="O140" s="1119"/>
      <c r="P140" s="1114" t="s">
        <v>3979</v>
      </c>
      <c r="Q140" s="1115"/>
      <c r="R140" s="1116">
        <v>0</v>
      </c>
      <c r="S140" s="1117"/>
    </row>
    <row r="141" spans="1:19" s="721" customFormat="1" ht="13.95" customHeight="1">
      <c r="G141" s="470"/>
      <c r="H141" s="470"/>
      <c r="I141" s="470"/>
      <c r="J141" s="719"/>
      <c r="K141" s="719"/>
      <c r="L141" s="719"/>
      <c r="M141" s="719"/>
      <c r="P141" s="468"/>
      <c r="Q141" s="489" t="s">
        <v>832</v>
      </c>
      <c r="R141" s="1112">
        <f>SUM(R128:S140)</f>
        <v>1</v>
      </c>
      <c r="S141" s="111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009" t="s">
        <v>3980</v>
      </c>
      <c r="B145" s="1010"/>
      <c r="C145" s="1010"/>
      <c r="D145" s="1010"/>
      <c r="E145" s="1010"/>
      <c r="F145" s="1010"/>
      <c r="G145" s="1010"/>
      <c r="H145" s="1010"/>
      <c r="I145" s="1010"/>
      <c r="J145" s="1010"/>
      <c r="K145" s="1010"/>
      <c r="L145" s="1010"/>
      <c r="M145" s="1011"/>
      <c r="N145" s="1012"/>
      <c r="O145" s="1013"/>
      <c r="P145" s="1013"/>
      <c r="Q145" s="1013"/>
      <c r="R145" s="1013"/>
      <c r="S145" s="1014"/>
    </row>
    <row r="146" spans="1:19" s="458" customFormat="1" ht="42.6" customHeight="1">
      <c r="A146" s="1006"/>
      <c r="B146" s="1007"/>
      <c r="C146" s="1007"/>
      <c r="D146" s="1007"/>
      <c r="E146" s="1007"/>
      <c r="F146" s="1007"/>
      <c r="G146" s="1007"/>
      <c r="H146" s="1007"/>
      <c r="I146" s="1007"/>
      <c r="J146" s="1007"/>
      <c r="K146" s="1007"/>
      <c r="L146" s="1007"/>
      <c r="M146" s="1008"/>
      <c r="N146" s="1003"/>
      <c r="O146" s="1004"/>
      <c r="P146" s="1004"/>
      <c r="Q146" s="1004"/>
      <c r="R146" s="1004"/>
      <c r="S146" s="1005"/>
    </row>
    <row r="147" spans="1:19" s="458" customFormat="1" ht="42.6" customHeight="1">
      <c r="A147" s="1015"/>
      <c r="B147" s="1016"/>
      <c r="C147" s="1016"/>
      <c r="D147" s="1016"/>
      <c r="E147" s="1016"/>
      <c r="F147" s="1016"/>
      <c r="G147" s="1016"/>
      <c r="H147" s="1016"/>
      <c r="I147" s="1016"/>
      <c r="J147" s="1016"/>
      <c r="K147" s="1016"/>
      <c r="L147" s="1016"/>
      <c r="M147" s="1017"/>
      <c r="N147" s="1018"/>
      <c r="O147" s="1019"/>
      <c r="P147" s="1019"/>
      <c r="Q147" s="1019"/>
      <c r="R147" s="1019"/>
      <c r="S147" s="102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0"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8">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L140 N128:O140 M128:M139">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H22" sqref="H22:K22"/>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053" t="str">
        <f>CONCATENATE("PART THREE - SOURCES OF FUNDS","  -  ",'Part I-Project Information'!$O$4," ",'Part I-Project Information'!$F$22,", ",'Part I-Project Information'!$F$24,", ",'Part I-Project Information'!$J$25," County")</f>
        <v>PART THREE - SOURCES OF FUNDS  -  2011-053 Hampton Court , Hampton, Henry County</v>
      </c>
      <c r="B1" s="1054"/>
      <c r="C1" s="1054"/>
      <c r="D1" s="1054"/>
      <c r="E1" s="1054"/>
      <c r="F1" s="1054"/>
      <c r="G1" s="1054"/>
      <c r="H1" s="1054"/>
      <c r="I1" s="1054"/>
      <c r="J1" s="1054"/>
      <c r="K1" s="1054"/>
      <c r="L1" s="1054"/>
      <c r="M1" s="1054"/>
      <c r="N1" s="1054"/>
      <c r="O1" s="1054"/>
      <c r="P1" s="1054"/>
      <c r="Q1" s="1055"/>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950</v>
      </c>
      <c r="B3" s="485" t="s">
        <v>3771</v>
      </c>
      <c r="C3" s="458"/>
      <c r="D3" s="721"/>
      <c r="E3" s="721"/>
      <c r="F3" s="721"/>
      <c r="G3" s="721"/>
      <c r="H3" s="721"/>
      <c r="I3" s="458"/>
      <c r="J3" s="458"/>
      <c r="K3" s="458"/>
      <c r="L3" s="458"/>
      <c r="M3" s="458"/>
    </row>
    <row r="4" spans="1:17" s="398" customFormat="1" ht="13.95" customHeight="1">
      <c r="A4" s="491"/>
      <c r="B4" s="735"/>
      <c r="C4" s="485"/>
      <c r="D4" s="721"/>
      <c r="E4" s="721"/>
      <c r="F4" s="721"/>
      <c r="G4" s="721"/>
      <c r="I4" s="458"/>
      <c r="J4" s="458"/>
      <c r="K4" s="458"/>
      <c r="L4" s="458"/>
      <c r="M4" s="458"/>
    </row>
    <row r="5" spans="1:17" s="398" customFormat="1" ht="16.95" customHeight="1">
      <c r="A5" s="735"/>
      <c r="B5" s="876" t="s">
        <v>3963</v>
      </c>
      <c r="C5" s="714" t="s">
        <v>3653</v>
      </c>
      <c r="D5" s="458"/>
      <c r="E5" s="876"/>
      <c r="F5" s="716" t="s">
        <v>2653</v>
      </c>
      <c r="G5" s="458"/>
      <c r="J5" s="1169"/>
      <c r="K5" s="1170"/>
      <c r="M5" s="876"/>
      <c r="N5" s="714" t="s">
        <v>845</v>
      </c>
    </row>
    <row r="6" spans="1:17" s="398" customFormat="1" ht="16.95" customHeight="1">
      <c r="A6" s="735"/>
      <c r="B6" s="876"/>
      <c r="C6" s="714" t="s">
        <v>2835</v>
      </c>
      <c r="D6" s="458"/>
      <c r="E6" s="876"/>
      <c r="F6" s="716" t="s">
        <v>3312</v>
      </c>
      <c r="J6" s="876"/>
      <c r="K6" s="721" t="s">
        <v>846</v>
      </c>
      <c r="M6" s="876"/>
      <c r="N6" s="716" t="s">
        <v>844</v>
      </c>
    </row>
    <row r="7" spans="1:17" s="398" customFormat="1" ht="16.95" customHeight="1">
      <c r="A7" s="458"/>
      <c r="B7" s="876"/>
      <c r="C7" s="714" t="s">
        <v>2836</v>
      </c>
      <c r="E7" s="876"/>
      <c r="F7" s="716" t="s">
        <v>3311</v>
      </c>
      <c r="G7" s="458"/>
      <c r="J7" s="876"/>
      <c r="K7" s="721" t="s">
        <v>2290</v>
      </c>
      <c r="M7" s="876"/>
      <c r="N7" s="464" t="s">
        <v>1981</v>
      </c>
      <c r="P7" s="1169"/>
      <c r="Q7" s="1170"/>
    </row>
    <row r="8" spans="1:17" s="398" customFormat="1" ht="16.95" customHeight="1">
      <c r="A8" s="735"/>
      <c r="B8" s="876"/>
      <c r="C8" s="721" t="s">
        <v>3915</v>
      </c>
      <c r="D8" s="458"/>
      <c r="E8" s="876"/>
      <c r="F8" s="487" t="s">
        <v>3916</v>
      </c>
      <c r="H8" s="876"/>
      <c r="I8" s="458" t="s">
        <v>3654</v>
      </c>
      <c r="J8" s="876"/>
      <c r="K8" s="458" t="s">
        <v>874</v>
      </c>
      <c r="M8" s="876"/>
      <c r="N8" s="951" t="s">
        <v>3232</v>
      </c>
      <c r="O8" s="968"/>
      <c r="P8" s="968"/>
      <c r="Q8" s="952"/>
    </row>
    <row r="9" spans="1:17" s="398" customFormat="1" ht="16.95" customHeight="1">
      <c r="A9" s="735"/>
      <c r="B9" s="398" t="s">
        <v>310</v>
      </c>
      <c r="C9" s="458"/>
      <c r="D9" s="458"/>
      <c r="E9" s="458"/>
      <c r="F9" s="458"/>
      <c r="G9" s="458"/>
      <c r="H9" s="458"/>
      <c r="I9" s="458"/>
      <c r="J9" s="458"/>
      <c r="K9" s="458"/>
      <c r="L9" s="458"/>
      <c r="M9" s="487"/>
      <c r="N9" s="458"/>
      <c r="O9" s="458"/>
      <c r="P9" s="458"/>
      <c r="Q9" s="458"/>
    </row>
    <row r="10" spans="1:17" s="398" customFormat="1" ht="17.399999999999999" customHeight="1">
      <c r="A10" s="735"/>
      <c r="H10" s="458"/>
      <c r="L10" s="458"/>
      <c r="M10" s="487"/>
      <c r="N10" s="458"/>
      <c r="O10" s="458"/>
      <c r="P10" s="458"/>
      <c r="Q10" s="458"/>
    </row>
    <row r="11" spans="1:17" s="517" customFormat="1" ht="15" customHeight="1">
      <c r="A11" s="461" t="s">
        <v>1229</v>
      </c>
      <c r="B11" s="395" t="s">
        <v>3495</v>
      </c>
      <c r="C11" s="458"/>
      <c r="D11" s="721"/>
      <c r="E11" s="458"/>
      <c r="F11" s="458"/>
      <c r="G11" s="458"/>
      <c r="H11" s="461"/>
      <c r="I11" s="482"/>
      <c r="J11" s="461"/>
      <c r="K11" s="458"/>
      <c r="L11" s="458"/>
      <c r="M11" s="721"/>
      <c r="N11" s="947"/>
      <c r="O11" s="947"/>
      <c r="P11" s="458"/>
      <c r="Q11" s="458"/>
    </row>
    <row r="12" spans="1:17" s="517" customFormat="1" ht="13.95" customHeight="1">
      <c r="A12" s="461"/>
      <c r="B12" s="395"/>
      <c r="C12" s="458"/>
      <c r="K12" s="458"/>
      <c r="L12" s="458"/>
      <c r="M12" s="721"/>
      <c r="N12" s="713"/>
      <c r="O12" s="713"/>
      <c r="P12" s="458"/>
      <c r="Q12" s="458"/>
    </row>
    <row r="13" spans="1:17" s="398" customFormat="1" ht="16.95" customHeight="1">
      <c r="A13" s="458"/>
      <c r="B13" s="714" t="s">
        <v>2927</v>
      </c>
      <c r="C13" s="458"/>
      <c r="D13" s="458"/>
      <c r="E13" s="458"/>
      <c r="F13" s="458"/>
      <c r="G13" s="458"/>
      <c r="H13" s="1122" t="s">
        <v>1997</v>
      </c>
      <c r="I13" s="1122"/>
      <c r="J13" s="1122"/>
      <c r="K13" s="1122"/>
      <c r="L13" s="1030" t="s">
        <v>3068</v>
      </c>
      <c r="M13" s="1030"/>
      <c r="N13" s="1030" t="s">
        <v>2257</v>
      </c>
      <c r="O13" s="1030"/>
      <c r="P13" s="1030" t="s">
        <v>2536</v>
      </c>
      <c r="Q13" s="1030"/>
    </row>
    <row r="14" spans="1:17" s="398" customFormat="1" ht="16.95" customHeight="1">
      <c r="A14" s="458"/>
      <c r="B14" s="1166" t="s">
        <v>2347</v>
      </c>
      <c r="C14" s="1167"/>
      <c r="D14" s="1167"/>
      <c r="E14" s="724"/>
      <c r="F14" s="724"/>
      <c r="G14" s="724"/>
      <c r="H14" s="951" t="s">
        <v>4010</v>
      </c>
      <c r="I14" s="968"/>
      <c r="J14" s="968"/>
      <c r="K14" s="952"/>
      <c r="L14" s="1120">
        <v>5934651</v>
      </c>
      <c r="M14" s="1121"/>
      <c r="N14" s="1140">
        <v>6.5000000000000002E-2</v>
      </c>
      <c r="O14" s="1141"/>
      <c r="P14" s="1173">
        <v>18</v>
      </c>
      <c r="Q14" s="1174"/>
    </row>
    <row r="15" spans="1:17" s="398" customFormat="1" ht="16.95" customHeight="1">
      <c r="A15" s="458"/>
      <c r="B15" s="1155" t="s">
        <v>2348</v>
      </c>
      <c r="C15" s="1156"/>
      <c r="D15" s="1156"/>
      <c r="E15" s="721"/>
      <c r="F15" s="721"/>
      <c r="G15" s="721"/>
      <c r="H15" s="951"/>
      <c r="I15" s="968"/>
      <c r="J15" s="968"/>
      <c r="K15" s="952"/>
      <c r="L15" s="1120"/>
      <c r="M15" s="1121"/>
      <c r="N15" s="1140"/>
      <c r="O15" s="1141"/>
      <c r="P15" s="1142"/>
      <c r="Q15" s="1143"/>
    </row>
    <row r="16" spans="1:17" s="398" customFormat="1" ht="16.95" customHeight="1">
      <c r="A16" s="458"/>
      <c r="B16" s="1171" t="s">
        <v>2349</v>
      </c>
      <c r="C16" s="1172"/>
      <c r="D16" s="1172"/>
      <c r="E16" s="727"/>
      <c r="F16" s="727"/>
      <c r="G16" s="727"/>
      <c r="H16" s="951"/>
      <c r="I16" s="968"/>
      <c r="J16" s="968"/>
      <c r="K16" s="952"/>
      <c r="L16" s="1120"/>
      <c r="M16" s="1121"/>
      <c r="N16" s="1140"/>
      <c r="O16" s="1141"/>
      <c r="P16" s="1142"/>
      <c r="Q16" s="1143"/>
    </row>
    <row r="17" spans="1:17" s="398" customFormat="1" ht="16.95" customHeight="1">
      <c r="A17" s="458"/>
      <c r="B17" s="1166" t="s">
        <v>3333</v>
      </c>
      <c r="C17" s="1167"/>
      <c r="D17" s="1167"/>
      <c r="E17" s="721"/>
      <c r="F17" s="721"/>
      <c r="G17" s="721"/>
      <c r="H17" s="951"/>
      <c r="I17" s="968"/>
      <c r="J17" s="968"/>
      <c r="K17" s="952"/>
      <c r="L17" s="1120"/>
      <c r="M17" s="1121"/>
      <c r="N17" s="1145"/>
      <c r="O17" s="1146"/>
      <c r="P17" s="1144"/>
      <c r="Q17" s="1144"/>
    </row>
    <row r="18" spans="1:17" s="398" customFormat="1" ht="16.95" customHeight="1">
      <c r="A18" s="458"/>
      <c r="B18" s="1155" t="s">
        <v>1383</v>
      </c>
      <c r="C18" s="1156"/>
      <c r="D18" s="1156"/>
      <c r="E18" s="721"/>
      <c r="H18" s="951"/>
      <c r="I18" s="968"/>
      <c r="J18" s="968"/>
      <c r="K18" s="952"/>
      <c r="L18" s="1120"/>
      <c r="M18" s="1121"/>
      <c r="N18" s="1145"/>
      <c r="O18" s="1146"/>
      <c r="P18" s="1144"/>
      <c r="Q18" s="1144"/>
    </row>
    <row r="19" spans="1:17" s="398" customFormat="1" ht="16.95" customHeight="1">
      <c r="A19" s="458"/>
      <c r="B19" s="1155" t="s">
        <v>977</v>
      </c>
      <c r="C19" s="1156"/>
      <c r="D19" s="1156"/>
      <c r="E19" s="721"/>
      <c r="H19" s="951"/>
      <c r="I19" s="968"/>
      <c r="J19" s="968"/>
      <c r="K19" s="952"/>
      <c r="L19" s="1120"/>
      <c r="M19" s="1121"/>
      <c r="N19" s="1145"/>
      <c r="O19" s="1146"/>
      <c r="P19" s="1144"/>
      <c r="Q19" s="1144"/>
    </row>
    <row r="20" spans="1:17" s="398" customFormat="1" ht="16.95" customHeight="1">
      <c r="A20" s="458"/>
      <c r="B20" s="1155" t="s">
        <v>1384</v>
      </c>
      <c r="C20" s="1156"/>
      <c r="D20" s="1156"/>
      <c r="E20" s="721"/>
      <c r="H20" s="951"/>
      <c r="I20" s="968"/>
      <c r="J20" s="968"/>
      <c r="K20" s="952"/>
      <c r="L20" s="1120">
        <v>1330000</v>
      </c>
      <c r="M20" s="1121"/>
      <c r="N20" s="458"/>
      <c r="O20" s="458"/>
      <c r="P20" s="458"/>
      <c r="Q20" s="458"/>
    </row>
    <row r="21" spans="1:17" s="398" customFormat="1" ht="16.95" customHeight="1">
      <c r="A21" s="458"/>
      <c r="B21" s="1155" t="s">
        <v>1385</v>
      </c>
      <c r="C21" s="1156"/>
      <c r="D21" s="1156"/>
      <c r="E21" s="721"/>
      <c r="H21" s="951"/>
      <c r="I21" s="968"/>
      <c r="J21" s="968"/>
      <c r="K21" s="952"/>
      <c r="L21" s="1120">
        <v>475000</v>
      </c>
      <c r="M21" s="1121"/>
      <c r="N21" s="458"/>
      <c r="O21" s="458"/>
      <c r="P21" s="458"/>
      <c r="Q21" s="458"/>
    </row>
    <row r="22" spans="1:17" s="398" customFormat="1" ht="16.95" customHeight="1">
      <c r="A22" s="458"/>
      <c r="B22" s="720" t="s">
        <v>309</v>
      </c>
      <c r="C22" s="721"/>
      <c r="D22" s="1187"/>
      <c r="E22" s="1187"/>
      <c r="F22" s="1187"/>
      <c r="G22" s="1187"/>
      <c r="H22" s="951"/>
      <c r="I22" s="968"/>
      <c r="J22" s="968"/>
      <c r="K22" s="952"/>
      <c r="L22" s="1120"/>
      <c r="M22" s="1121"/>
      <c r="N22" s="458"/>
      <c r="O22" s="458"/>
      <c r="P22" s="458"/>
      <c r="Q22" s="458"/>
    </row>
    <row r="23" spans="1:17" s="398" customFormat="1" ht="16.95" customHeight="1">
      <c r="A23" s="458"/>
      <c r="B23" s="720" t="s">
        <v>309</v>
      </c>
      <c r="C23" s="721"/>
      <c r="D23" s="1187"/>
      <c r="E23" s="1187"/>
      <c r="F23" s="1187"/>
      <c r="G23" s="1187"/>
      <c r="H23" s="951"/>
      <c r="I23" s="968"/>
      <c r="J23" s="968"/>
      <c r="K23" s="952"/>
      <c r="L23" s="1120"/>
      <c r="M23" s="1121"/>
      <c r="N23" s="458"/>
      <c r="O23" s="458"/>
      <c r="P23" s="458"/>
      <c r="Q23" s="458"/>
    </row>
    <row r="24" spans="1:17" s="398" customFormat="1" ht="16.95" customHeight="1">
      <c r="A24" s="458"/>
      <c r="B24" s="726" t="s">
        <v>309</v>
      </c>
      <c r="C24" s="727"/>
      <c r="D24" s="1187"/>
      <c r="E24" s="1187"/>
      <c r="F24" s="1187"/>
      <c r="G24" s="1187"/>
      <c r="H24" s="951"/>
      <c r="I24" s="968"/>
      <c r="J24" s="968"/>
      <c r="K24" s="952"/>
      <c r="L24" s="1120"/>
      <c r="M24" s="1121"/>
      <c r="N24" s="458"/>
      <c r="O24" s="458"/>
      <c r="P24" s="458"/>
      <c r="Q24" s="458"/>
    </row>
    <row r="25" spans="1:17" s="398" customFormat="1" ht="16.95" customHeight="1">
      <c r="A25" s="458"/>
      <c r="B25" s="395" t="s">
        <v>1998</v>
      </c>
      <c r="C25" s="458"/>
      <c r="D25" s="458"/>
      <c r="E25" s="458"/>
      <c r="F25" s="458"/>
      <c r="G25" s="458"/>
      <c r="H25" s="458"/>
      <c r="I25" s="458"/>
      <c r="L25" s="1151">
        <f>SUM(L14:L24)</f>
        <v>7739651</v>
      </c>
      <c r="M25" s="1152"/>
      <c r="N25" s="482"/>
      <c r="O25" s="482"/>
      <c r="P25" s="482"/>
      <c r="Q25" s="482"/>
    </row>
    <row r="26" spans="1:17" s="398" customFormat="1" ht="16.95" customHeight="1">
      <c r="A26" s="458"/>
      <c r="B26" s="714" t="s">
        <v>1999</v>
      </c>
      <c r="C26" s="458"/>
      <c r="D26" s="458"/>
      <c r="E26" s="458"/>
      <c r="F26" s="458"/>
      <c r="G26" s="458"/>
      <c r="H26" s="458"/>
      <c r="I26" s="458"/>
      <c r="L26" s="115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7739651</v>
      </c>
      <c r="M26" s="1152"/>
      <c r="N26" s="1147"/>
      <c r="O26" s="1148"/>
      <c r="P26" s="1148"/>
      <c r="Q26" s="1148"/>
    </row>
    <row r="27" spans="1:17" s="398" customFormat="1" ht="16.95" customHeight="1">
      <c r="A27" s="458"/>
      <c r="B27" s="464" t="s">
        <v>3261</v>
      </c>
      <c r="C27" s="458"/>
      <c r="D27" s="458"/>
      <c r="E27" s="458"/>
      <c r="F27" s="458"/>
      <c r="G27" s="458"/>
      <c r="H27" s="458"/>
      <c r="I27" s="458"/>
      <c r="L27" s="1153">
        <f>L25-L26</f>
        <v>0</v>
      </c>
      <c r="M27" s="1154"/>
      <c r="N27" s="1147"/>
      <c r="O27" s="1148"/>
      <c r="P27" s="1148"/>
      <c r="Q27" s="1148"/>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1231</v>
      </c>
      <c r="B29" s="395" t="s">
        <v>1382</v>
      </c>
      <c r="C29" s="482"/>
      <c r="D29" s="482"/>
      <c r="E29" s="482"/>
      <c r="F29" s="482"/>
      <c r="G29" s="482"/>
      <c r="H29" s="482"/>
      <c r="I29" s="482"/>
      <c r="J29" s="482"/>
      <c r="K29" s="482"/>
      <c r="L29" s="482"/>
      <c r="M29" s="719"/>
      <c r="N29" s="719"/>
      <c r="O29" s="482"/>
      <c r="P29" s="461"/>
      <c r="Q29" s="461"/>
    </row>
    <row r="30" spans="1:17" s="398" customFormat="1" ht="13.2" customHeight="1">
      <c r="A30" s="458"/>
      <c r="B30" s="458"/>
      <c r="C30" s="458"/>
      <c r="D30" s="458"/>
      <c r="E30" s="458"/>
      <c r="F30" s="719"/>
      <c r="G30" s="719"/>
      <c r="H30" s="1144"/>
      <c r="I30" s="1144"/>
      <c r="J30" s="552" t="s">
        <v>3195</v>
      </c>
      <c r="K30" s="719" t="s">
        <v>1995</v>
      </c>
      <c r="L30" s="719" t="s">
        <v>2000</v>
      </c>
      <c r="M30" s="1050" t="s">
        <v>40</v>
      </c>
      <c r="N30" s="1050"/>
      <c r="O30" s="713"/>
      <c r="P30" s="719"/>
      <c r="Q30" s="1175" t="s">
        <v>3492</v>
      </c>
    </row>
    <row r="31" spans="1:17" s="398" customFormat="1" ht="13.2" customHeight="1" thickBot="1">
      <c r="A31" s="458"/>
      <c r="B31" s="718" t="s">
        <v>2927</v>
      </c>
      <c r="C31" s="727"/>
      <c r="D31" s="727"/>
      <c r="E31" s="1156" t="s">
        <v>1997</v>
      </c>
      <c r="F31" s="1156"/>
      <c r="G31" s="1156"/>
      <c r="H31" s="1030" t="s">
        <v>719</v>
      </c>
      <c r="I31" s="1030"/>
      <c r="J31" s="717" t="s">
        <v>2843</v>
      </c>
      <c r="K31" s="717" t="s">
        <v>3332</v>
      </c>
      <c r="L31" s="717" t="s">
        <v>3332</v>
      </c>
      <c r="M31" s="1129"/>
      <c r="N31" s="1129"/>
      <c r="O31" s="1030" t="s">
        <v>84</v>
      </c>
      <c r="P31" s="1030"/>
      <c r="Q31" s="1176"/>
    </row>
    <row r="32" spans="1:17" s="398" customFormat="1" ht="13.2" customHeight="1" thickBot="1">
      <c r="A32" s="458"/>
      <c r="B32" s="1166" t="str">
        <f>IF(E32 ="&lt;&lt;Select applicable option&gt;&gt;", "Make a selection FIRST --&gt;",IF(E32 = "Neither","N/A","Mortgage A"))</f>
        <v>N/A</v>
      </c>
      <c r="C32" s="1167"/>
      <c r="D32" s="1167"/>
      <c r="E32" s="1190" t="s">
        <v>4025</v>
      </c>
      <c r="F32" s="1191"/>
      <c r="G32" s="1192"/>
      <c r="H32" s="1185">
        <f>IF($E$32="USDA 538 Loan", 'Part III B-USDA 538 Loan'!C5,IF($E$32="HUD Insured Loan", 'Part III C-HUD Insured Loan'!D5,0))</f>
        <v>0</v>
      </c>
      <c r="I32" s="118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49" t="str">
        <f>IF(OR(H32&lt;=0,H32=""),"",IF(O32="Amortizing",-PMT(J32/12,L32*12,H32,0,0)*12,IF(NOT(O32="Amortizing"),'Part VII-Pro Forma'!B23,"")))</f>
        <v/>
      </c>
      <c r="N32" s="1150"/>
      <c r="O32" s="1132" t="s">
        <v>3018</v>
      </c>
      <c r="P32" s="1133"/>
      <c r="Q32" s="877" t="s">
        <v>2760</v>
      </c>
    </row>
    <row r="33" spans="1:19" s="398" customFormat="1" ht="13.2" customHeight="1">
      <c r="A33" s="458"/>
      <c r="B33" s="1155" t="str">
        <f>IF(OR(E32 = "Neither",E32 = "&lt;&lt;Select applicable option&gt;&gt;"), "Mortgage A","Mortgage B")</f>
        <v>Mortgage A</v>
      </c>
      <c r="C33" s="1156"/>
      <c r="D33" s="1157"/>
      <c r="E33" s="1035"/>
      <c r="F33" s="1188"/>
      <c r="G33" s="1189"/>
      <c r="H33" s="1138"/>
      <c r="I33" s="1160"/>
      <c r="J33" s="878"/>
      <c r="K33" s="876"/>
      <c r="L33" s="876"/>
      <c r="M33" s="1130" t="str">
        <f>IF(OR(H33&lt;=0,H33=""),"",IF(O33="Amortizing",-PMT(J33/12,L33*12,H33,0,0)*12,""))</f>
        <v/>
      </c>
      <c r="N33" s="1131"/>
      <c r="O33" s="1127"/>
      <c r="P33" s="1128"/>
      <c r="Q33" s="879"/>
    </row>
    <row r="34" spans="1:19" s="398" customFormat="1" ht="13.2" customHeight="1">
      <c r="A34" s="458"/>
      <c r="B34" s="720" t="str">
        <f>IF(OR(E32 = "Neither",E32 = "&lt;&lt;Select applicable option&gt;&gt;"), "Mortgage B","Mortgage C")</f>
        <v>Mortgage B</v>
      </c>
      <c r="C34" s="721"/>
      <c r="D34" s="722"/>
      <c r="E34" s="951"/>
      <c r="F34" s="1165"/>
      <c r="G34" s="1160"/>
      <c r="H34" s="1138"/>
      <c r="I34" s="1160"/>
      <c r="J34" s="878"/>
      <c r="K34" s="876"/>
      <c r="L34" s="876"/>
      <c r="M34" s="1130" t="str">
        <f>IF(OR(H34&lt;=0,H34=""),"",IF(O34="Amortizing",-PMT(J34/12,L34*12,H34,0,0)*12,""))</f>
        <v/>
      </c>
      <c r="N34" s="1131"/>
      <c r="O34" s="1127"/>
      <c r="P34" s="1128"/>
      <c r="Q34" s="879"/>
    </row>
    <row r="35" spans="1:19" s="398" customFormat="1" ht="13.2" customHeight="1">
      <c r="A35" s="458"/>
      <c r="B35" s="720" t="s">
        <v>1230</v>
      </c>
      <c r="C35" s="1127"/>
      <c r="D35" s="1128"/>
      <c r="E35" s="951"/>
      <c r="F35" s="1165"/>
      <c r="G35" s="1160"/>
      <c r="H35" s="1138"/>
      <c r="I35" s="1160"/>
      <c r="J35" s="878"/>
      <c r="K35" s="876"/>
      <c r="L35" s="876"/>
      <c r="M35" s="1130" t="str">
        <f>IF(OR(H35&lt;=0,H35=""),"",IF(O35="Amortizing",-PMT(J35/12,L35*12,H35,0,0)*12,""))</f>
        <v/>
      </c>
      <c r="N35" s="1131"/>
      <c r="O35" s="1127"/>
      <c r="P35" s="1128"/>
      <c r="Q35" s="879"/>
    </row>
    <row r="36" spans="1:19" s="398" customFormat="1" ht="13.2" customHeight="1">
      <c r="A36" s="458"/>
      <c r="B36" s="720" t="s">
        <v>2085</v>
      </c>
      <c r="C36" s="721"/>
      <c r="D36" s="722"/>
      <c r="E36" s="951"/>
      <c r="F36" s="1165"/>
      <c r="G36" s="1160"/>
      <c r="H36" s="1138"/>
      <c r="I36" s="1160"/>
      <c r="J36" s="878"/>
      <c r="K36" s="876"/>
      <c r="L36" s="876"/>
      <c r="M36" s="1130" t="str">
        <f>IF(OR(H36&lt;=0,H36=""),"",IF(O36="Amortizing",-PMT(J36/12,L36*12,H36,0,0)*12,""))</f>
        <v/>
      </c>
      <c r="N36" s="1131"/>
      <c r="O36" s="1127"/>
      <c r="P36" s="1128"/>
      <c r="Q36" s="879"/>
    </row>
    <row r="37" spans="1:19" s="398" customFormat="1" ht="13.2" customHeight="1">
      <c r="A37" s="458"/>
      <c r="B37" s="726" t="s">
        <v>292</v>
      </c>
      <c r="C37" s="727"/>
      <c r="D37" s="555">
        <f>IF(OR(H37="",H37=0,'Part IV-Uses of Funds'!$G$109="",'Part IV-Uses of Funds'!$G$109=0),"",H37/'Part IV-Uses of Funds'!$G$109)</f>
        <v>0.1742384795626139</v>
      </c>
      <c r="E37" s="951" t="s">
        <v>4011</v>
      </c>
      <c r="F37" s="1165"/>
      <c r="G37" s="1160"/>
      <c r="H37" s="1138">
        <v>192744</v>
      </c>
      <c r="I37" s="1160"/>
      <c r="J37" s="878">
        <v>0</v>
      </c>
      <c r="K37" s="876"/>
      <c r="L37" s="876"/>
      <c r="M37" s="1130" t="str">
        <f>IF(OR(H37&lt;=0,H37=""),"",IF(O37="Amortizing",-PMT(J37/12,L37*12,H37,0,0)*12,""))</f>
        <v/>
      </c>
      <c r="N37" s="1131"/>
      <c r="O37" s="1127" t="s">
        <v>1809</v>
      </c>
      <c r="P37" s="1128"/>
      <c r="Q37" s="879"/>
    </row>
    <row r="38" spans="1:19" s="398" customFormat="1" ht="13.2" customHeight="1">
      <c r="A38" s="458"/>
      <c r="B38" s="1166" t="s">
        <v>3333</v>
      </c>
      <c r="C38" s="1167"/>
      <c r="D38" s="1168"/>
      <c r="E38" s="951"/>
      <c r="F38" s="1165"/>
      <c r="G38" s="1160"/>
      <c r="H38" s="1158"/>
      <c r="I38" s="1159"/>
      <c r="K38" s="556"/>
      <c r="L38" s="556"/>
      <c r="M38" s="556"/>
      <c r="N38" s="556"/>
      <c r="O38" s="556"/>
      <c r="P38" s="556"/>
      <c r="Q38" s="556"/>
      <c r="S38" s="648" t="s">
        <v>808</v>
      </c>
    </row>
    <row r="39" spans="1:19" s="398" customFormat="1" ht="13.2" customHeight="1">
      <c r="A39" s="458"/>
      <c r="B39" s="1155" t="s">
        <v>1383</v>
      </c>
      <c r="C39" s="1156"/>
      <c r="D39" s="1157"/>
      <c r="E39" s="951"/>
      <c r="F39" s="1165"/>
      <c r="G39" s="1160"/>
      <c r="H39" s="1158"/>
      <c r="I39" s="1159"/>
      <c r="J39" s="1177" t="s">
        <v>809</v>
      </c>
      <c r="K39" s="1178"/>
      <c r="L39" s="652" t="s">
        <v>810</v>
      </c>
      <c r="M39" s="557"/>
      <c r="N39" s="557"/>
      <c r="O39" s="557"/>
      <c r="P39" s="557"/>
      <c r="Q39" s="556"/>
      <c r="S39" s="649" t="s">
        <v>3865</v>
      </c>
    </row>
    <row r="40" spans="1:19" s="398" customFormat="1" ht="13.2" customHeight="1">
      <c r="A40" s="458"/>
      <c r="B40" s="1155" t="s">
        <v>1384</v>
      </c>
      <c r="C40" s="1156"/>
      <c r="D40" s="1157"/>
      <c r="E40" s="951" t="s">
        <v>4008</v>
      </c>
      <c r="F40" s="968"/>
      <c r="G40" s="952"/>
      <c r="H40" s="1138">
        <v>6650000</v>
      </c>
      <c r="I40" s="1139"/>
      <c r="J40" s="1179">
        <f>'Part IV-Uses of Funds'!$J$165*10*'Part IV-Uses of Funds'!$N$158</f>
        <v>6650000</v>
      </c>
      <c r="K40" s="1180"/>
      <c r="L40" s="653">
        <f>H40-J40</f>
        <v>0</v>
      </c>
      <c r="M40" s="1056" t="s">
        <v>2537</v>
      </c>
      <c r="N40" s="1181"/>
      <c r="O40" s="1181"/>
      <c r="P40" s="1181"/>
      <c r="Q40" s="1182"/>
      <c r="S40" s="650">
        <f>H40/H50</f>
        <v>0.72143465906625304</v>
      </c>
    </row>
    <row r="41" spans="1:19" s="398" customFormat="1" ht="13.2" customHeight="1">
      <c r="A41" s="458"/>
      <c r="B41" s="1155" t="s">
        <v>1385</v>
      </c>
      <c r="C41" s="1156"/>
      <c r="D41" s="1157"/>
      <c r="E41" s="951" t="s">
        <v>4008</v>
      </c>
      <c r="F41" s="968"/>
      <c r="G41" s="952"/>
      <c r="H41" s="1138">
        <v>2375000</v>
      </c>
      <c r="I41" s="1139"/>
      <c r="J41" s="1179">
        <f>'Part IV-Uses of Funds'!$J$165*10*'Part IV-Uses of Funds'!$Q$158</f>
        <v>2375000</v>
      </c>
      <c r="K41" s="1180"/>
      <c r="L41" s="653">
        <f>H41-J41</f>
        <v>0</v>
      </c>
      <c r="M41" s="1183"/>
      <c r="N41" s="1176"/>
      <c r="O41" s="1176"/>
      <c r="P41" s="1176"/>
      <c r="Q41" s="1184"/>
      <c r="S41" s="650">
        <f>H41/H50</f>
        <v>0.25765523538080465</v>
      </c>
    </row>
    <row r="42" spans="1:19" s="398" customFormat="1" ht="13.2" customHeight="1">
      <c r="A42" s="458"/>
      <c r="B42" s="1155" t="s">
        <v>2120</v>
      </c>
      <c r="C42" s="1156"/>
      <c r="D42" s="1157"/>
      <c r="E42" s="951"/>
      <c r="F42" s="968"/>
      <c r="G42" s="952"/>
      <c r="H42" s="1138"/>
      <c r="I42" s="1139"/>
      <c r="M42" s="558" t="s">
        <v>3022</v>
      </c>
      <c r="N42" s="559" t="s">
        <v>3023</v>
      </c>
      <c r="O42" s="558">
        <v>8</v>
      </c>
      <c r="P42" s="558">
        <v>9</v>
      </c>
      <c r="Q42" s="558">
        <v>10</v>
      </c>
      <c r="S42" s="651">
        <f>SUM(S40:S41)</f>
        <v>0.97908989444705763</v>
      </c>
    </row>
    <row r="43" spans="1:19" s="398" customFormat="1" ht="13.2" customHeight="1">
      <c r="A43" s="458"/>
      <c r="B43" s="720" t="s">
        <v>824</v>
      </c>
      <c r="C43" s="721"/>
      <c r="D43" s="722"/>
      <c r="E43" s="951"/>
      <c r="F43" s="968"/>
      <c r="G43" s="952"/>
      <c r="H43" s="1138"/>
      <c r="I43" s="1139"/>
      <c r="K43" s="458"/>
      <c r="L43" s="458"/>
      <c r="M43" s="558" t="s">
        <v>3024</v>
      </c>
      <c r="N43" s="878"/>
      <c r="O43" s="878"/>
      <c r="P43" s="878"/>
      <c r="Q43" s="878"/>
      <c r="S43" s="458"/>
    </row>
    <row r="44" spans="1:19" s="398" customFormat="1" ht="13.2" customHeight="1">
      <c r="A44" s="458"/>
      <c r="B44" s="720" t="s">
        <v>2925</v>
      </c>
      <c r="C44" s="721"/>
      <c r="D44" s="722"/>
      <c r="E44" s="951"/>
      <c r="F44" s="968"/>
      <c r="G44" s="952"/>
      <c r="H44" s="1138"/>
      <c r="I44" s="1139"/>
      <c r="J44" s="458"/>
      <c r="M44" s="560">
        <v>11</v>
      </c>
      <c r="N44" s="560">
        <v>12</v>
      </c>
      <c r="O44" s="713">
        <v>13</v>
      </c>
      <c r="P44" s="558">
        <v>14</v>
      </c>
      <c r="Q44" s="558">
        <v>15</v>
      </c>
    </row>
    <row r="45" spans="1:19" s="398" customFormat="1" ht="13.2" customHeight="1">
      <c r="A45" s="458"/>
      <c r="B45" s="720" t="s">
        <v>2926</v>
      </c>
      <c r="C45" s="721"/>
      <c r="D45" s="722"/>
      <c r="E45" s="951"/>
      <c r="F45" s="968"/>
      <c r="G45" s="952"/>
      <c r="H45" s="1138"/>
      <c r="I45" s="1139"/>
      <c r="J45" s="458"/>
      <c r="M45" s="878"/>
      <c r="N45" s="878"/>
      <c r="O45" s="878"/>
      <c r="P45" s="878"/>
      <c r="Q45" s="878"/>
    </row>
    <row r="46" spans="1:19" s="398" customFormat="1" ht="13.2" customHeight="1">
      <c r="A46" s="458"/>
      <c r="B46" s="720" t="s">
        <v>1230</v>
      </c>
      <c r="C46" s="951"/>
      <c r="D46" s="952"/>
      <c r="E46" s="951"/>
      <c r="F46" s="968"/>
      <c r="G46" s="952"/>
      <c r="H46" s="1138"/>
      <c r="I46" s="1139"/>
      <c r="J46" s="458"/>
      <c r="M46" s="558">
        <v>16</v>
      </c>
      <c r="N46" s="558">
        <v>17</v>
      </c>
      <c r="O46" s="558">
        <v>18</v>
      </c>
      <c r="P46" s="719">
        <v>19</v>
      </c>
      <c r="Q46" s="719">
        <v>20</v>
      </c>
    </row>
    <row r="47" spans="1:19" s="398" customFormat="1" ht="13.2" customHeight="1">
      <c r="A47" s="458"/>
      <c r="B47" s="720" t="s">
        <v>1230</v>
      </c>
      <c r="C47" s="951"/>
      <c r="D47" s="952"/>
      <c r="E47" s="951"/>
      <c r="F47" s="968"/>
      <c r="G47" s="952"/>
      <c r="H47" s="1138"/>
      <c r="I47" s="1139"/>
      <c r="J47" s="458"/>
      <c r="K47" s="458"/>
      <c r="L47" s="558"/>
      <c r="M47" s="878"/>
      <c r="N47" s="878"/>
      <c r="O47" s="878"/>
      <c r="P47" s="878"/>
      <c r="Q47" s="878"/>
    </row>
    <row r="48" spans="1:19" s="398" customFormat="1" ht="13.2" customHeight="1">
      <c r="A48" s="458"/>
      <c r="B48" s="726" t="s">
        <v>1230</v>
      </c>
      <c r="C48" s="951"/>
      <c r="D48" s="952"/>
      <c r="E48" s="951"/>
      <c r="F48" s="968"/>
      <c r="G48" s="952"/>
      <c r="H48" s="1138"/>
      <c r="I48" s="1139"/>
      <c r="J48" s="458"/>
      <c r="K48" s="458"/>
      <c r="L48" s="558"/>
      <c r="M48" s="719">
        <v>21</v>
      </c>
      <c r="N48" s="719">
        <v>22</v>
      </c>
      <c r="O48" s="719">
        <v>23</v>
      </c>
      <c r="P48" s="719">
        <v>24</v>
      </c>
      <c r="Q48" s="719">
        <v>25</v>
      </c>
    </row>
    <row r="49" spans="1:17" s="398" customFormat="1" ht="13.2" customHeight="1">
      <c r="A49" s="458"/>
      <c r="B49" s="714" t="s">
        <v>3334</v>
      </c>
      <c r="C49" s="458"/>
      <c r="D49" s="458"/>
      <c r="E49" s="458"/>
      <c r="F49" s="458"/>
      <c r="G49" s="458"/>
      <c r="H49" s="1136">
        <f>SUM(H32:I48)</f>
        <v>9217744</v>
      </c>
      <c r="I49" s="1137"/>
      <c r="J49" s="482"/>
      <c r="K49" s="458"/>
      <c r="L49" s="558"/>
      <c r="M49" s="878"/>
      <c r="N49" s="878"/>
      <c r="O49" s="878"/>
      <c r="P49" s="878"/>
      <c r="Q49" s="878"/>
    </row>
    <row r="50" spans="1:17" s="398" customFormat="1" ht="13.2" customHeight="1" thickBot="1">
      <c r="A50" s="458"/>
      <c r="B50" s="714" t="s">
        <v>3335</v>
      </c>
      <c r="C50" s="458"/>
      <c r="D50" s="458"/>
      <c r="E50" s="458"/>
      <c r="F50" s="458"/>
      <c r="G50" s="458"/>
      <c r="H50" s="1134">
        <f>'Part IV-Uses of Funds'!$G$123</f>
        <v>9217744</v>
      </c>
      <c r="I50" s="1135"/>
      <c r="J50" s="482"/>
      <c r="K50" s="458"/>
      <c r="L50" s="558"/>
      <c r="M50" s="719">
        <v>26</v>
      </c>
      <c r="N50" s="719">
        <v>27</v>
      </c>
      <c r="O50" s="719">
        <v>28</v>
      </c>
      <c r="P50" s="719">
        <v>29</v>
      </c>
      <c r="Q50" s="719">
        <v>30</v>
      </c>
    </row>
    <row r="51" spans="1:17" s="398" customFormat="1" ht="13.2" customHeight="1" thickBot="1">
      <c r="A51" s="458"/>
      <c r="B51" s="464" t="s">
        <v>2276</v>
      </c>
      <c r="C51" s="458"/>
      <c r="D51" s="458"/>
      <c r="E51" s="458"/>
      <c r="F51" s="458"/>
      <c r="G51" s="458"/>
      <c r="H51" s="1163">
        <f>H49-H50</f>
        <v>0</v>
      </c>
      <c r="I51" s="1164"/>
      <c r="J51" s="482"/>
      <c r="K51" s="458"/>
      <c r="L51" s="558"/>
      <c r="M51" s="878"/>
      <c r="N51" s="878"/>
      <c r="O51" s="878"/>
      <c r="P51" s="878"/>
      <c r="Q51" s="878"/>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 customHeight="1">
      <c r="B54" s="519"/>
    </row>
    <row r="55" spans="1:17" ht="51" customHeight="1">
      <c r="A55" s="1009"/>
      <c r="B55" s="1123"/>
      <c r="C55" s="1123"/>
      <c r="D55" s="1123"/>
      <c r="E55" s="1123"/>
      <c r="F55" s="1123"/>
      <c r="G55" s="1123"/>
      <c r="H55" s="1123"/>
      <c r="I55" s="1123"/>
      <c r="J55" s="1124"/>
      <c r="K55" s="1012"/>
      <c r="L55" s="1123"/>
      <c r="M55" s="1123"/>
      <c r="N55" s="1123"/>
      <c r="O55" s="1123"/>
      <c r="P55" s="1123"/>
      <c r="Q55" s="1124"/>
    </row>
    <row r="56" spans="1:17" ht="51" customHeight="1">
      <c r="A56" s="1006"/>
      <c r="B56" s="1125"/>
      <c r="C56" s="1125"/>
      <c r="D56" s="1125"/>
      <c r="E56" s="1125"/>
      <c r="F56" s="1125"/>
      <c r="G56" s="1125"/>
      <c r="H56" s="1125"/>
      <c r="I56" s="1125"/>
      <c r="J56" s="1126"/>
      <c r="K56" s="1003"/>
      <c r="L56" s="1125"/>
      <c r="M56" s="1125"/>
      <c r="N56" s="1125"/>
      <c r="O56" s="1125"/>
      <c r="P56" s="1125"/>
      <c r="Q56" s="1126"/>
    </row>
    <row r="57" spans="1:17" s="398" customFormat="1" ht="51" customHeight="1">
      <c r="A57" s="1006"/>
      <c r="B57" s="1125"/>
      <c r="C57" s="1125"/>
      <c r="D57" s="1125"/>
      <c r="E57" s="1125"/>
      <c r="F57" s="1125"/>
      <c r="G57" s="1125"/>
      <c r="H57" s="1125"/>
      <c r="I57" s="1125"/>
      <c r="J57" s="1126"/>
      <c r="K57" s="1003"/>
      <c r="L57" s="1125"/>
      <c r="M57" s="1125"/>
      <c r="N57" s="1125"/>
      <c r="O57" s="1125"/>
      <c r="P57" s="1125"/>
      <c r="Q57" s="1126"/>
    </row>
    <row r="58" spans="1:17" ht="51" customHeight="1">
      <c r="A58" s="1015"/>
      <c r="B58" s="1161"/>
      <c r="C58" s="1161"/>
      <c r="D58" s="1161"/>
      <c r="E58" s="1161"/>
      <c r="F58" s="1161"/>
      <c r="G58" s="1161"/>
      <c r="H58" s="1161"/>
      <c r="I58" s="1161"/>
      <c r="J58" s="1162"/>
      <c r="K58" s="1018"/>
      <c r="L58" s="1161"/>
      <c r="M58" s="1161"/>
      <c r="N58" s="1161"/>
      <c r="O58" s="1161"/>
      <c r="P58" s="1161"/>
      <c r="Q58" s="1162"/>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7" sqref="C7"/>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193" t="str">
        <f>CONCATENATE("PART III B: USD 538 LOAN","  -  ",'Part I-Project Information'!$O$4," ",'Part I-Project Information'!$F$22,", ",'Part I-Project Information'!$F$24,", ",'Part I-Project Information'!$J$25," County")</f>
        <v>PART III B: USD 538 LOAN  -  2011-053 Hampton Court , Hampton, Henry County</v>
      </c>
      <c r="B1" s="1194"/>
      <c r="C1" s="1194"/>
      <c r="D1" s="1194"/>
      <c r="E1" s="1194"/>
      <c r="F1" s="1195"/>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2" t="s">
        <v>278</v>
      </c>
      <c r="B3" s="1202"/>
      <c r="C3" s="1202"/>
      <c r="D3" s="1202"/>
      <c r="E3" s="1202"/>
      <c r="F3" s="1202"/>
      <c r="G3" s="275"/>
      <c r="H3" s="275"/>
    </row>
    <row r="4" spans="1:17" s="264" customFormat="1" ht="6" customHeight="1"/>
    <row r="5" spans="1:17">
      <c r="A5" s="42" t="s">
        <v>3386</v>
      </c>
      <c r="B5" s="42"/>
      <c r="C5" s="873"/>
      <c r="D5" s="374">
        <f>IF(C5&gt;1500000,1500000,0)</f>
        <v>0</v>
      </c>
      <c r="E5" s="375">
        <f>IF(C5&gt;1500000,C5-1500000,0)</f>
        <v>0</v>
      </c>
    </row>
    <row r="6" spans="1:17">
      <c r="A6" s="42" t="s">
        <v>3736</v>
      </c>
      <c r="B6" s="300" t="s">
        <v>745</v>
      </c>
      <c r="C6" s="376">
        <v>0</v>
      </c>
      <c r="D6" s="160" t="s">
        <v>746</v>
      </c>
      <c r="E6" s="42"/>
    </row>
    <row r="7" spans="1:17">
      <c r="A7" s="42"/>
      <c r="B7" s="300" t="s">
        <v>3752</v>
      </c>
      <c r="C7" s="874"/>
      <c r="D7" s="160" t="s">
        <v>2659</v>
      </c>
      <c r="E7" s="42"/>
    </row>
    <row r="8" spans="1:17" ht="13.2" customHeight="1">
      <c r="A8" s="42" t="s">
        <v>3740</v>
      </c>
      <c r="B8" s="42"/>
      <c r="C8" s="376">
        <v>0</v>
      </c>
      <c r="D8" s="160" t="s">
        <v>2660</v>
      </c>
      <c r="E8" s="42"/>
    </row>
    <row r="9" spans="1:17">
      <c r="A9" s="42" t="s">
        <v>2093</v>
      </c>
      <c r="B9" s="42"/>
      <c r="C9" s="875"/>
      <c r="D9" s="42"/>
      <c r="E9" s="42"/>
    </row>
    <row r="10" spans="1:17">
      <c r="A10" s="42" t="s">
        <v>2094</v>
      </c>
      <c r="B10" s="42"/>
      <c r="C10" s="875"/>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5" customHeight="1">
      <c r="A13" s="275"/>
      <c r="B13" s="275"/>
      <c r="C13" s="275"/>
      <c r="D13" s="275"/>
      <c r="E13" s="275"/>
      <c r="F13" s="275"/>
      <c r="G13" s="275"/>
      <c r="H13" s="275"/>
    </row>
    <row r="14" spans="1:17" ht="12.6" customHeight="1">
      <c r="A14" s="1203" t="s">
        <v>143</v>
      </c>
      <c r="B14" s="1203"/>
      <c r="C14" s="1203"/>
      <c r="D14" s="1203"/>
      <c r="E14" s="1203"/>
      <c r="F14" s="1203"/>
      <c r="G14" s="275"/>
      <c r="H14" s="275"/>
    </row>
    <row r="15" spans="1:17" ht="5.4" customHeight="1">
      <c r="A15" s="34"/>
      <c r="E15" s="288"/>
      <c r="F15" s="275"/>
      <c r="G15" s="275"/>
      <c r="H15" s="275"/>
    </row>
    <row r="16" spans="1:17" ht="13.2" customHeight="1">
      <c r="A16" s="290" t="s">
        <v>3754</v>
      </c>
      <c r="B16" s="731" t="s">
        <v>3750</v>
      </c>
      <c r="C16" s="731" t="s">
        <v>3751</v>
      </c>
      <c r="D16" s="1199" t="s">
        <v>3385</v>
      </c>
      <c r="E16" s="1199"/>
      <c r="F16" s="275"/>
      <c r="G16" s="275"/>
      <c r="H16" s="275"/>
    </row>
    <row r="17" spans="1:8" ht="12.6" customHeight="1">
      <c r="A17" s="111">
        <v>1</v>
      </c>
      <c r="B17" s="265">
        <f>IF(A17&gt;$C$9,0,SUM(C64:C75)*($C$6/$C$7))</f>
        <v>0</v>
      </c>
      <c r="C17" s="289">
        <f>IF(A17&gt;C9,0,(E63+K63)*$C$8)</f>
        <v>0</v>
      </c>
      <c r="D17" s="1204">
        <f t="shared" ref="D17:D56" si="0">IF(A17&gt;$C$9,0,$C$11+C17)</f>
        <v>0</v>
      </c>
      <c r="E17" s="1204"/>
      <c r="F17" s="275"/>
      <c r="G17" s="275"/>
      <c r="H17" s="275"/>
    </row>
    <row r="18" spans="1:8" ht="12.6" customHeight="1">
      <c r="A18" s="111">
        <v>2</v>
      </c>
      <c r="B18" s="265">
        <f>IF(A18&gt;C9,0,SUM(C76:C87)*($C$6/$C$7))</f>
        <v>0</v>
      </c>
      <c r="C18" s="293">
        <f>IF(A18&gt;C9,0,(E75+K75)*$C$8)</f>
        <v>0</v>
      </c>
      <c r="D18" s="1196">
        <f t="shared" si="0"/>
        <v>0</v>
      </c>
      <c r="E18" s="1196"/>
      <c r="F18" s="275"/>
      <c r="G18" s="275"/>
      <c r="H18" s="275"/>
    </row>
    <row r="19" spans="1:8" ht="12.6" customHeight="1">
      <c r="A19" s="111">
        <v>3</v>
      </c>
      <c r="B19" s="265">
        <f>IF(A19&gt;C9,0,SUM(C88:C99)*($C$6/$C$7))</f>
        <v>0</v>
      </c>
      <c r="C19" s="289">
        <f>IF(A19&gt;C9,0,(E87+K87)*$C$8)</f>
        <v>0</v>
      </c>
      <c r="D19" s="1196">
        <f t="shared" si="0"/>
        <v>0</v>
      </c>
      <c r="E19" s="1196"/>
      <c r="F19" s="275"/>
      <c r="G19" s="275"/>
      <c r="H19" s="275"/>
    </row>
    <row r="20" spans="1:8" ht="12.6" customHeight="1">
      <c r="A20" s="111">
        <v>4</v>
      </c>
      <c r="B20" s="265">
        <f>IF(A20&gt;C9,0,SUM(C100:C111)*($C$6/$C$7))</f>
        <v>0</v>
      </c>
      <c r="C20" s="289">
        <f>IF(A20&gt;C9,0,(E99+K99)*$C$8)</f>
        <v>0</v>
      </c>
      <c r="D20" s="1196">
        <f t="shared" si="0"/>
        <v>0</v>
      </c>
      <c r="E20" s="1196"/>
      <c r="F20" s="275"/>
      <c r="G20" s="275"/>
      <c r="H20" s="275"/>
    </row>
    <row r="21" spans="1:8" ht="12.6" customHeight="1">
      <c r="A21" s="111">
        <v>5</v>
      </c>
      <c r="B21" s="265">
        <f>IF(A21&gt;C9,0,SUM(C112:C123)*($C$6/$C$7))</f>
        <v>0</v>
      </c>
      <c r="C21" s="289">
        <f>IF(A21&gt;C9,0,(E111+K111)*$C$8)</f>
        <v>0</v>
      </c>
      <c r="D21" s="1197">
        <f t="shared" si="0"/>
        <v>0</v>
      </c>
      <c r="E21" s="1197"/>
      <c r="F21" s="275"/>
      <c r="G21" s="275"/>
      <c r="H21" s="275"/>
    </row>
    <row r="22" spans="1:8" ht="12.6" customHeight="1">
      <c r="A22" s="266">
        <v>6</v>
      </c>
      <c r="B22" s="267">
        <f>IF(A22&gt;C9,0,SUM(C124:C135)*($C$6/$C$7))</f>
        <v>0</v>
      </c>
      <c r="C22" s="730">
        <f>IF(A22&gt;C9,0,(E123+K123)*$C$8)</f>
        <v>0</v>
      </c>
      <c r="D22" s="1196">
        <f t="shared" si="0"/>
        <v>0</v>
      </c>
      <c r="E22" s="1196"/>
      <c r="F22" s="275"/>
      <c r="G22" s="275"/>
      <c r="H22" s="275"/>
    </row>
    <row r="23" spans="1:8" ht="12.6" customHeight="1">
      <c r="A23" s="268">
        <v>7</v>
      </c>
      <c r="B23" s="269">
        <f>IF(A23&gt;C9,0,SUM(C136:C147)*($C$6/$C$7))</f>
        <v>0</v>
      </c>
      <c r="C23" s="728">
        <f>IF(A23&gt;C9,0,(E135+K135)*$C$8)</f>
        <v>0</v>
      </c>
      <c r="D23" s="1196">
        <f t="shared" si="0"/>
        <v>0</v>
      </c>
      <c r="E23" s="1196"/>
      <c r="F23" s="275"/>
      <c r="G23" s="275"/>
      <c r="H23" s="275"/>
    </row>
    <row r="24" spans="1:8" ht="12.6" customHeight="1">
      <c r="A24" s="268">
        <v>8</v>
      </c>
      <c r="B24" s="269">
        <f>IF(A24&gt;C9,0,SUM(C148:C159)*($C$6/$C$7))</f>
        <v>0</v>
      </c>
      <c r="C24" s="728">
        <f>IF(A24&gt;C9,0,(E147+K147)*$C$8)</f>
        <v>0</v>
      </c>
      <c r="D24" s="1196">
        <f t="shared" si="0"/>
        <v>0</v>
      </c>
      <c r="E24" s="1196"/>
      <c r="F24" s="275"/>
      <c r="G24" s="275"/>
      <c r="H24" s="275"/>
    </row>
    <row r="25" spans="1:8" ht="12.6" customHeight="1">
      <c r="A25" s="268">
        <v>9</v>
      </c>
      <c r="B25" s="269">
        <f>IF(A25&gt;C9,0,SUM(C160:C171)*($C$6/$C$7))</f>
        <v>0</v>
      </c>
      <c r="C25" s="728">
        <f>IF(A25&gt;C9,0,(E159+K159)*$C$8)</f>
        <v>0</v>
      </c>
      <c r="D25" s="1196">
        <f t="shared" si="0"/>
        <v>0</v>
      </c>
      <c r="E25" s="1196"/>
      <c r="F25" s="275"/>
      <c r="G25" s="275"/>
      <c r="H25" s="275"/>
    </row>
    <row r="26" spans="1:8" ht="12.6" customHeight="1">
      <c r="A26" s="270">
        <v>10</v>
      </c>
      <c r="B26" s="271">
        <f>IF(A26&gt;C9,0,SUM(C172:C183)*($C$6/$C$7))</f>
        <v>0</v>
      </c>
      <c r="C26" s="729">
        <f>IF(A26&gt;C9,0,(E171+K171)*$C$8)</f>
        <v>0</v>
      </c>
      <c r="D26" s="1197">
        <f t="shared" si="0"/>
        <v>0</v>
      </c>
      <c r="E26" s="1197"/>
      <c r="F26" s="275"/>
      <c r="G26" s="275"/>
      <c r="H26" s="275"/>
    </row>
    <row r="27" spans="1:8" ht="12.6" customHeight="1">
      <c r="A27" s="272">
        <v>11</v>
      </c>
      <c r="B27" s="265">
        <f>IF(A27&gt;C9,0,SUM(C184:C195)*($C$6/$C$7))</f>
        <v>0</v>
      </c>
      <c r="C27" s="289">
        <f>IF(A27&gt;C9,0,(E183+K183)*$C$8)</f>
        <v>0</v>
      </c>
      <c r="D27" s="1196">
        <f t="shared" si="0"/>
        <v>0</v>
      </c>
      <c r="E27" s="1196"/>
      <c r="F27" s="275"/>
      <c r="G27" s="275"/>
      <c r="H27" s="275"/>
    </row>
    <row r="28" spans="1:8" ht="12.6" customHeight="1">
      <c r="A28" s="272">
        <v>12</v>
      </c>
      <c r="B28" s="265">
        <f>IF(A28&gt;C9,0,SUM(C196:C207)*($C$6/$C$7))</f>
        <v>0</v>
      </c>
      <c r="C28" s="289">
        <f>IF(A28&gt;C9,0,(E195+K195)*$C$8)</f>
        <v>0</v>
      </c>
      <c r="D28" s="1196">
        <f t="shared" si="0"/>
        <v>0</v>
      </c>
      <c r="E28" s="1196"/>
      <c r="F28" s="275"/>
      <c r="G28" s="275"/>
      <c r="H28" s="275"/>
    </row>
    <row r="29" spans="1:8" ht="12.6" customHeight="1">
      <c r="A29" s="272">
        <v>13</v>
      </c>
      <c r="B29" s="265">
        <f>IF(A29&gt;C9,0,SUM(C208:C219)*($C$6/$C$7))</f>
        <v>0</v>
      </c>
      <c r="C29" s="289">
        <f>IF(A29&gt;C9,0,(E207+K207)*$C$8)</f>
        <v>0</v>
      </c>
      <c r="D29" s="1196">
        <f t="shared" si="0"/>
        <v>0</v>
      </c>
      <c r="E29" s="1196"/>
      <c r="F29" s="275"/>
      <c r="G29" s="275"/>
      <c r="H29" s="275"/>
    </row>
    <row r="30" spans="1:8" ht="12.6" customHeight="1">
      <c r="A30" s="272">
        <v>14</v>
      </c>
      <c r="B30" s="265">
        <f>IF(A30&gt;C9,0,SUM(C220:C231)*($C$6/$C$7))</f>
        <v>0</v>
      </c>
      <c r="C30" s="289">
        <f>IF(A30&gt;C9,0,(E219+K219)*$C$8)</f>
        <v>0</v>
      </c>
      <c r="D30" s="1196">
        <f t="shared" si="0"/>
        <v>0</v>
      </c>
      <c r="E30" s="1196"/>
      <c r="F30" s="275"/>
      <c r="G30" s="275"/>
      <c r="H30" s="275"/>
    </row>
    <row r="31" spans="1:8" ht="12.6" customHeight="1">
      <c r="A31" s="272">
        <v>15</v>
      </c>
      <c r="B31" s="265">
        <f>IF(A31&gt;C9,0,SUM(C232:C243)*($C$6/$C$7))</f>
        <v>0</v>
      </c>
      <c r="C31" s="289">
        <f>IF(A31&gt;C9,0,(E231+K231)*$C$8)</f>
        <v>0</v>
      </c>
      <c r="D31" s="1197">
        <f t="shared" si="0"/>
        <v>0</v>
      </c>
      <c r="E31" s="1197"/>
      <c r="F31" s="275"/>
      <c r="G31" s="275"/>
      <c r="H31" s="275"/>
    </row>
    <row r="32" spans="1:8" ht="12.6" customHeight="1">
      <c r="A32" s="274">
        <v>16</v>
      </c>
      <c r="B32" s="267">
        <f>IF(A32&gt;C9,0,SUM(C244:C255)*($C$6/$C$7))</f>
        <v>0</v>
      </c>
      <c r="C32" s="730">
        <f>IF(A32&gt;C9,0,(E243+K243)*$C$8)</f>
        <v>0</v>
      </c>
      <c r="D32" s="1196">
        <f t="shared" si="0"/>
        <v>0</v>
      </c>
      <c r="E32" s="1196"/>
      <c r="F32" s="275"/>
      <c r="G32" s="275"/>
      <c r="H32" s="275"/>
    </row>
    <row r="33" spans="1:8" ht="12.6" customHeight="1">
      <c r="A33" s="268">
        <v>17</v>
      </c>
      <c r="B33" s="269">
        <f>IF(A33&gt;C9,0,SUM(C256:C267)*($C$6/$C$7))</f>
        <v>0</v>
      </c>
      <c r="C33" s="728">
        <f>IF(A33&gt;C9,0,(E255+K255)*$C$8)</f>
        <v>0</v>
      </c>
      <c r="D33" s="1196">
        <f t="shared" si="0"/>
        <v>0</v>
      </c>
      <c r="E33" s="1196"/>
      <c r="F33" s="275"/>
      <c r="G33" s="275"/>
      <c r="H33" s="275"/>
    </row>
    <row r="34" spans="1:8" ht="12.6" customHeight="1">
      <c r="A34" s="268">
        <v>18</v>
      </c>
      <c r="B34" s="269">
        <f>IF(A34&gt;C9,0,SUM(C268:C279)*($C$6/$C$7))</f>
        <v>0</v>
      </c>
      <c r="C34" s="728">
        <f>IF(A34&gt;C9,0,(E267+K267)*$C$8)</f>
        <v>0</v>
      </c>
      <c r="D34" s="1196">
        <f t="shared" si="0"/>
        <v>0</v>
      </c>
      <c r="E34" s="1196"/>
      <c r="F34" s="275"/>
      <c r="G34" s="275"/>
      <c r="H34" s="275"/>
    </row>
    <row r="35" spans="1:8" ht="12.6" customHeight="1">
      <c r="A35" s="268">
        <v>19</v>
      </c>
      <c r="B35" s="269">
        <f>IF(A35&gt;C9,0,SUM(C280:C291)*($C$6/$C$7))</f>
        <v>0</v>
      </c>
      <c r="C35" s="728">
        <f>IF(A35&gt;C9,0,(E279+K279)*$C$8)</f>
        <v>0</v>
      </c>
      <c r="D35" s="1196">
        <f t="shared" si="0"/>
        <v>0</v>
      </c>
      <c r="E35" s="1196"/>
      <c r="F35" s="275"/>
      <c r="G35" s="275"/>
      <c r="H35" s="275"/>
    </row>
    <row r="36" spans="1:8" ht="12.6" customHeight="1">
      <c r="A36" s="270">
        <v>20</v>
      </c>
      <c r="B36" s="271">
        <f>IF(A36&gt;C9,0,SUM(C292:C303)*($C$6/$C$7))</f>
        <v>0</v>
      </c>
      <c r="C36" s="729">
        <f>IF(A36&gt;C9,0,(E291+K291)*$C$8)</f>
        <v>0</v>
      </c>
      <c r="D36" s="1197">
        <f t="shared" si="0"/>
        <v>0</v>
      </c>
      <c r="E36" s="1197"/>
      <c r="F36" s="275"/>
      <c r="G36" s="275"/>
      <c r="H36" s="275"/>
    </row>
    <row r="37" spans="1:8" ht="12.6" customHeight="1">
      <c r="A37" s="111">
        <v>21</v>
      </c>
      <c r="B37" s="267">
        <f>IF(A37&gt;C9,0,SUM(C293:C304)*($C$6/$C$7))</f>
        <v>0</v>
      </c>
      <c r="C37" s="730">
        <f>IF(A37&gt;C9,0,(E303+K303)*$C$8)</f>
        <v>0</v>
      </c>
      <c r="D37" s="1198">
        <f t="shared" si="0"/>
        <v>0</v>
      </c>
      <c r="E37" s="1198"/>
      <c r="F37" s="275"/>
      <c r="G37" s="275"/>
      <c r="H37" s="275"/>
    </row>
    <row r="38" spans="1:8" ht="12.6" customHeight="1">
      <c r="A38" s="111">
        <v>22</v>
      </c>
      <c r="B38" s="269">
        <f>IF(A38&gt;C9,0,SUM(C294:C305)*($C$6/$C$7))</f>
        <v>0</v>
      </c>
      <c r="C38" s="728">
        <f>IF(A38&gt;C9,0,(E315+K315)*$C$8)</f>
        <v>0</v>
      </c>
      <c r="D38" s="1196">
        <f t="shared" si="0"/>
        <v>0</v>
      </c>
      <c r="E38" s="1196"/>
      <c r="F38" s="275"/>
      <c r="G38" s="275"/>
      <c r="H38" s="275"/>
    </row>
    <row r="39" spans="1:8" ht="12.6" customHeight="1">
      <c r="A39" s="111">
        <v>23</v>
      </c>
      <c r="B39" s="269">
        <f>IF(A39&gt;C9,0,SUM(C295:C306)*($C$6/$C$7))</f>
        <v>0</v>
      </c>
      <c r="C39" s="728">
        <f>IF(A39&gt;C9,0,(E327+K327)*$C$8)</f>
        <v>0</v>
      </c>
      <c r="D39" s="1196">
        <f t="shared" si="0"/>
        <v>0</v>
      </c>
      <c r="E39" s="1196"/>
      <c r="F39" s="275"/>
      <c r="G39" s="275"/>
      <c r="H39" s="275"/>
    </row>
    <row r="40" spans="1:8" ht="12.6" customHeight="1">
      <c r="A40" s="111">
        <v>24</v>
      </c>
      <c r="B40" s="269">
        <f>IF(A40&gt;C9,0,SUM(C296:C307)*($C$6/$C$7))</f>
        <v>0</v>
      </c>
      <c r="C40" s="728">
        <f>IF(A40&gt;C9,0,(E339+K339)*$C$8)</f>
        <v>0</v>
      </c>
      <c r="D40" s="1196">
        <f t="shared" si="0"/>
        <v>0</v>
      </c>
      <c r="E40" s="1196"/>
      <c r="F40" s="275"/>
      <c r="G40" s="275"/>
      <c r="H40" s="275"/>
    </row>
    <row r="41" spans="1:8" ht="12.6" customHeight="1">
      <c r="A41" s="111">
        <v>25</v>
      </c>
      <c r="B41" s="271">
        <f>IF(A41&gt;C9,0,SUM(C297:C308)*($C$6/$C$7))</f>
        <v>0</v>
      </c>
      <c r="C41" s="729">
        <f>IF(A41&gt;C9,0,(E351+K351)*$C$8)</f>
        <v>0</v>
      </c>
      <c r="D41" s="1197">
        <f t="shared" si="0"/>
        <v>0</v>
      </c>
      <c r="E41" s="1197"/>
      <c r="F41" s="275"/>
      <c r="G41" s="275"/>
      <c r="H41" s="275"/>
    </row>
    <row r="42" spans="1:8" ht="12.6" customHeight="1">
      <c r="A42" s="266">
        <v>26</v>
      </c>
      <c r="B42" s="267">
        <f>IF(A42&gt;C9,0,SUM(C298:C309)*($C$6/$C$7))</f>
        <v>0</v>
      </c>
      <c r="C42" s="730">
        <f>IF(A42&gt;C9,0,(E363+K363)*$C$8)</f>
        <v>0</v>
      </c>
      <c r="D42" s="1198">
        <f t="shared" si="0"/>
        <v>0</v>
      </c>
      <c r="E42" s="1198"/>
      <c r="F42" s="275"/>
      <c r="G42" s="275"/>
      <c r="H42" s="275"/>
    </row>
    <row r="43" spans="1:8" ht="12.6" customHeight="1">
      <c r="A43" s="268">
        <v>27</v>
      </c>
      <c r="B43" s="269">
        <f>IF(A43&gt;C9,0,SUM(C299:C310)*($C$6/$C$7))</f>
        <v>0</v>
      </c>
      <c r="C43" s="728">
        <f>IF(A43&gt;C9,0,(E375+K375)*$C$8)</f>
        <v>0</v>
      </c>
      <c r="D43" s="1196">
        <f t="shared" si="0"/>
        <v>0</v>
      </c>
      <c r="E43" s="1196"/>
      <c r="F43" s="275"/>
      <c r="G43" s="275"/>
      <c r="H43" s="275"/>
    </row>
    <row r="44" spans="1:8" ht="12.6" customHeight="1">
      <c r="A44" s="268">
        <v>28</v>
      </c>
      <c r="B44" s="269">
        <f>IF(A44&gt;C9,0,SUM(C300:C311)*($C$6/$C$7))</f>
        <v>0</v>
      </c>
      <c r="C44" s="728">
        <f>IF(A44&gt;C9,0,(E387+K387)*$C$8)</f>
        <v>0</v>
      </c>
      <c r="D44" s="1196">
        <f t="shared" si="0"/>
        <v>0</v>
      </c>
      <c r="E44" s="1196"/>
      <c r="F44" s="275"/>
      <c r="G44" s="275"/>
      <c r="H44" s="275"/>
    </row>
    <row r="45" spans="1:8" ht="12.6" customHeight="1">
      <c r="A45" s="268">
        <v>29</v>
      </c>
      <c r="B45" s="269">
        <f>IF(A45&gt;C9,0,SUM(C301:C312)*($C$6/$C$7))</f>
        <v>0</v>
      </c>
      <c r="C45" s="728">
        <f>IF(A45&gt;C9,0,(E411+K411)*$C$8)</f>
        <v>0</v>
      </c>
      <c r="D45" s="1196">
        <f t="shared" si="0"/>
        <v>0</v>
      </c>
      <c r="E45" s="1196"/>
      <c r="F45" s="275"/>
      <c r="G45" s="275"/>
      <c r="H45" s="275"/>
    </row>
    <row r="46" spans="1:8" ht="12.6" customHeight="1">
      <c r="A46" s="270">
        <v>30</v>
      </c>
      <c r="B46" s="271">
        <f>IF(A46&gt;C9,0,SUM(C302:C313)*($C$6/$C$7))</f>
        <v>0</v>
      </c>
      <c r="C46" s="729">
        <f>IF(A46&gt;C9,0,(E423+K423)*$C$8)</f>
        <v>0</v>
      </c>
      <c r="D46" s="1197">
        <f t="shared" si="0"/>
        <v>0</v>
      </c>
      <c r="E46" s="1197"/>
      <c r="F46" s="275"/>
      <c r="G46" s="275"/>
      <c r="H46" s="275"/>
    </row>
    <row r="47" spans="1:8" ht="12.6" customHeight="1">
      <c r="A47" s="274">
        <v>31</v>
      </c>
      <c r="B47" s="267">
        <f>IF(A47&gt;C9,0,SUM(C303:C314)*($C$6/$C$7))</f>
        <v>0</v>
      </c>
      <c r="C47" s="730">
        <f>IF(A47&gt;C9,0,(E435+K435)*$C$8)</f>
        <v>0</v>
      </c>
      <c r="D47" s="1198">
        <f t="shared" si="0"/>
        <v>0</v>
      </c>
      <c r="E47" s="1198"/>
      <c r="F47" s="275"/>
      <c r="G47" s="275"/>
      <c r="H47" s="275"/>
    </row>
    <row r="48" spans="1:8" ht="12.6" customHeight="1">
      <c r="A48" s="268">
        <v>32</v>
      </c>
      <c r="B48" s="269">
        <f>IF(A48&gt;C9,0,SUM(C304:C315)*($C$6/$C$7))</f>
        <v>0</v>
      </c>
      <c r="C48" s="728">
        <f>IF(A48&gt;C9,0,(E447+K447)*$C$8)</f>
        <v>0</v>
      </c>
      <c r="D48" s="1196">
        <f t="shared" si="0"/>
        <v>0</v>
      </c>
      <c r="E48" s="1196"/>
      <c r="F48" s="275"/>
      <c r="G48" s="275"/>
      <c r="H48" s="275"/>
    </row>
    <row r="49" spans="1:12" ht="12.6" customHeight="1">
      <c r="A49" s="268">
        <v>33</v>
      </c>
      <c r="B49" s="269">
        <f>IF(A49&gt;C9,0,SUM(C305:C316)*($C$6/$C$7))</f>
        <v>0</v>
      </c>
      <c r="C49" s="728">
        <f>IF(A49&gt;C9,0,(E459+K459)*$C$8)</f>
        <v>0</v>
      </c>
      <c r="D49" s="1196">
        <f t="shared" si="0"/>
        <v>0</v>
      </c>
      <c r="E49" s="1196"/>
      <c r="F49" s="275"/>
      <c r="G49" s="275"/>
      <c r="H49" s="275"/>
    </row>
    <row r="50" spans="1:12" ht="12.6" customHeight="1">
      <c r="A50" s="268">
        <v>34</v>
      </c>
      <c r="B50" s="269">
        <f>IF(A50&gt;C9,0,SUM(C306:C317)*($C$6/$C$7))</f>
        <v>0</v>
      </c>
      <c r="C50" s="728">
        <f>IF(A50&gt;C9,0,(E471+K471)*$C$8)</f>
        <v>0</v>
      </c>
      <c r="D50" s="1196">
        <f t="shared" si="0"/>
        <v>0</v>
      </c>
      <c r="E50" s="1196"/>
      <c r="F50" s="275"/>
      <c r="G50" s="275"/>
      <c r="H50" s="275"/>
    </row>
    <row r="51" spans="1:12" ht="12.6" customHeight="1">
      <c r="A51" s="270">
        <v>35</v>
      </c>
      <c r="B51" s="271">
        <f>IF(A51&gt;C9,0,SUM(C307:C318)*($C$6/$C$7))</f>
        <v>0</v>
      </c>
      <c r="C51" s="729">
        <f>IF(A51&gt;C9,0,(E483+K483)*$C$8)</f>
        <v>0</v>
      </c>
      <c r="D51" s="1197">
        <f t="shared" si="0"/>
        <v>0</v>
      </c>
      <c r="E51" s="1197"/>
      <c r="F51" s="275"/>
      <c r="G51" s="275"/>
      <c r="H51" s="275"/>
    </row>
    <row r="52" spans="1:12" ht="12.6" customHeight="1">
      <c r="A52" s="274">
        <v>36</v>
      </c>
      <c r="B52" s="267">
        <f>IF(A52&gt;C9,0,SUM(C308:C319)*($C$6/$C$7))</f>
        <v>0</v>
      </c>
      <c r="C52" s="730">
        <f>IF(A52&gt;C9,0,(E495+K495)*$C$8)</f>
        <v>0</v>
      </c>
      <c r="D52" s="1198">
        <f t="shared" si="0"/>
        <v>0</v>
      </c>
      <c r="E52" s="1198"/>
      <c r="F52" s="275"/>
      <c r="G52" s="275"/>
      <c r="H52" s="275"/>
    </row>
    <row r="53" spans="1:12" ht="12.6" customHeight="1">
      <c r="A53" s="268">
        <v>37</v>
      </c>
      <c r="B53" s="269">
        <f>IF(A53&gt;C9,0,SUM(C309:C320)*($C$6/$C$7))</f>
        <v>0</v>
      </c>
      <c r="C53" s="728">
        <f>IF(A53&gt;C9,0,(E507+K507)*$C$8)</f>
        <v>0</v>
      </c>
      <c r="D53" s="1196">
        <f t="shared" si="0"/>
        <v>0</v>
      </c>
      <c r="E53" s="1196"/>
      <c r="F53" s="275"/>
      <c r="G53" s="275"/>
      <c r="H53" s="275"/>
    </row>
    <row r="54" spans="1:12" ht="12.6" customHeight="1">
      <c r="A54" s="268">
        <v>38</v>
      </c>
      <c r="B54" s="269">
        <f>IF(A54&gt;C9,0,SUM(C310:C321)*($C$6/$C$7))</f>
        <v>0</v>
      </c>
      <c r="C54" s="728">
        <f>IF(A54&gt;C9,0,(E519+K519)*$C$8)</f>
        <v>0</v>
      </c>
      <c r="D54" s="1196">
        <f t="shared" si="0"/>
        <v>0</v>
      </c>
      <c r="E54" s="1196"/>
      <c r="F54" s="275"/>
      <c r="G54" s="275"/>
      <c r="H54" s="275"/>
    </row>
    <row r="55" spans="1:12" ht="12.6" customHeight="1">
      <c r="A55" s="268">
        <v>39</v>
      </c>
      <c r="B55" s="269">
        <f>IF(A55&gt;C9,0,SUM(C311:C322)*($C$6/$C$7))</f>
        <v>0</v>
      </c>
      <c r="C55" s="728">
        <f>IF(A55&gt;C9,0,(E531+K531)*$C$8)</f>
        <v>0</v>
      </c>
      <c r="D55" s="1196">
        <f t="shared" si="0"/>
        <v>0</v>
      </c>
      <c r="E55" s="1196"/>
      <c r="F55" s="275"/>
      <c r="G55" s="275"/>
      <c r="H55" s="275"/>
    </row>
    <row r="56" spans="1:12" ht="12.6" customHeight="1">
      <c r="A56" s="270">
        <v>40</v>
      </c>
      <c r="B56" s="271">
        <f>IF(A56&gt;C9,0,SUM(C312:C323)*($C$6/$C$7))</f>
        <v>0</v>
      </c>
      <c r="C56" s="729">
        <f>IF(A56&gt;C9,0,(E543+K543)*$C$8)</f>
        <v>0</v>
      </c>
      <c r="D56" s="1197">
        <f t="shared" si="0"/>
        <v>0</v>
      </c>
      <c r="E56" s="1197"/>
      <c r="F56" s="275"/>
      <c r="G56" s="275"/>
      <c r="H56" s="275"/>
    </row>
    <row r="57" spans="1:12" ht="3" customHeight="1">
      <c r="A57" s="275"/>
      <c r="B57" s="275"/>
      <c r="C57" s="275"/>
      <c r="D57" s="275"/>
      <c r="E57" s="275"/>
      <c r="F57" s="275"/>
      <c r="G57" s="275"/>
      <c r="H57" s="275"/>
    </row>
    <row r="58" spans="1:12" ht="13.2" customHeight="1">
      <c r="A58" s="1200" t="str">
        <f>CONCATENATE('Part I-Project Information'!$O$4," ",'Part I-Project Information'!$F$22,", ",'Part I-Project Information'!$F$24,", ",'Part I-Project Information'!$J$25," County")</f>
        <v>2011-053 Hampton Court , Hampton, Henry County</v>
      </c>
      <c r="B58" s="1200"/>
      <c r="C58" s="1200"/>
      <c r="D58" s="1200"/>
      <c r="E58" s="1200"/>
      <c r="F58" s="1200"/>
      <c r="G58" s="1200" t="str">
        <f>CONCATENATE('Part I-Project Information'!$O$4," ",'Part I-Project Information'!$F$22,", ",'Part I-Project Information'!$F$24,", ",'Part I-Project Information'!$J$25," County")</f>
        <v>2011-053 Hampton Court , Hampton, Henry County</v>
      </c>
      <c r="H58" s="1200"/>
      <c r="I58" s="1200"/>
      <c r="J58" s="1200"/>
      <c r="K58" s="1200"/>
      <c r="L58" s="1200"/>
    </row>
    <row r="59" spans="1:12" ht="13.8">
      <c r="A59" s="1201" t="s">
        <v>3744</v>
      </c>
      <c r="B59" s="1201"/>
      <c r="C59" s="1201"/>
      <c r="D59" s="1201"/>
      <c r="E59" s="1201"/>
      <c r="F59" s="1201"/>
      <c r="G59" s="1201" t="s">
        <v>3744</v>
      </c>
      <c r="H59" s="1201"/>
      <c r="I59" s="1201"/>
      <c r="J59" s="1201"/>
      <c r="K59" s="1201"/>
      <c r="L59" s="1201"/>
    </row>
    <row r="60" spans="1:12" ht="6" customHeight="1">
      <c r="C60" s="273"/>
      <c r="D60" s="273"/>
      <c r="I60" s="273"/>
      <c r="J60" s="273"/>
    </row>
    <row r="61" spans="1:12">
      <c r="A61" s="276" t="s">
        <v>3745</v>
      </c>
      <c r="B61" s="277" t="s">
        <v>3746</v>
      </c>
      <c r="C61" s="277" t="s">
        <v>1994</v>
      </c>
      <c r="D61" s="277" t="s">
        <v>3747</v>
      </c>
      <c r="E61" s="276" t="s">
        <v>3748</v>
      </c>
      <c r="F61" s="307" t="s">
        <v>3754</v>
      </c>
      <c r="G61" s="276" t="s">
        <v>3745</v>
      </c>
      <c r="H61" s="277" t="s">
        <v>3746</v>
      </c>
      <c r="I61" s="277" t="s">
        <v>1994</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8" sqref="D8"/>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193" t="str">
        <f>CONCATENATE("PART III C  - HUD INSURED LOAN","  -  ",'Part I-Project Information'!$O$4," ",'Part I-Project Information'!$F$22,", ",'Part I-Project Information'!$F$24,", ",'Part I-Project Information'!$J$25," County")</f>
        <v>PART III C  - HUD INSURED LOAN  -  2011-053 Hampton Court , Hampton, Henry County</v>
      </c>
      <c r="B1" s="1194"/>
      <c r="C1" s="1194"/>
      <c r="D1" s="1194"/>
      <c r="E1" s="1194"/>
      <c r="F1" s="1195"/>
      <c r="G1" s="231"/>
      <c r="H1" s="231"/>
      <c r="I1" s="231"/>
      <c r="J1" s="231"/>
      <c r="K1" s="231"/>
      <c r="L1" s="231"/>
      <c r="M1" s="231"/>
      <c r="N1" s="231"/>
      <c r="O1" s="231"/>
      <c r="P1" s="231"/>
      <c r="Q1" s="231"/>
    </row>
    <row r="2" spans="1:17">
      <c r="A2" s="16"/>
      <c r="B2" s="264"/>
      <c r="C2" s="264"/>
      <c r="D2" s="264"/>
    </row>
    <row r="3" spans="1:17" ht="15.6" customHeight="1">
      <c r="A3" s="1202" t="s">
        <v>278</v>
      </c>
      <c r="B3" s="1202"/>
      <c r="C3" s="1202"/>
      <c r="D3" s="1202"/>
      <c r="E3" s="1202"/>
      <c r="F3" s="1202"/>
      <c r="G3" s="317"/>
      <c r="H3" s="317"/>
    </row>
    <row r="4" spans="1:17">
      <c r="A4" s="16"/>
      <c r="B4" s="264"/>
      <c r="C4" s="264"/>
      <c r="D4" s="264"/>
    </row>
    <row r="5" spans="1:17" ht="13.2" customHeight="1">
      <c r="A5" s="31" t="s">
        <v>3386</v>
      </c>
      <c r="D5" s="869"/>
      <c r="E5" s="1205" t="s">
        <v>1552</v>
      </c>
      <c r="F5" s="1206"/>
      <c r="G5" s="219"/>
    </row>
    <row r="6" spans="1:17">
      <c r="E6" s="1206"/>
      <c r="F6" s="1206"/>
      <c r="G6" s="219"/>
    </row>
    <row r="7" spans="1:17">
      <c r="A7" s="31" t="s">
        <v>3736</v>
      </c>
      <c r="C7" s="31" t="s">
        <v>3737</v>
      </c>
      <c r="D7" s="870"/>
      <c r="E7" s="1206"/>
      <c r="F7" s="1206"/>
      <c r="G7" s="219"/>
    </row>
    <row r="8" spans="1:17">
      <c r="C8" s="31" t="s">
        <v>3738</v>
      </c>
      <c r="D8" s="870"/>
      <c r="E8" s="1206"/>
      <c r="F8" s="1206"/>
      <c r="G8" s="219"/>
    </row>
    <row r="9" spans="1:17">
      <c r="C9" s="31" t="s">
        <v>3739</v>
      </c>
      <c r="D9" s="870"/>
      <c r="E9" s="1206"/>
      <c r="F9" s="1206"/>
      <c r="G9" s="219"/>
    </row>
    <row r="10" spans="1:17">
      <c r="C10" s="31" t="s">
        <v>3752</v>
      </c>
      <c r="D10" s="318">
        <f>D7+D8+D9</f>
        <v>0</v>
      </c>
      <c r="E10" s="1206"/>
      <c r="F10" s="1206"/>
      <c r="G10" s="219"/>
    </row>
    <row r="11" spans="1:17">
      <c r="F11" s="219"/>
      <c r="G11" s="219"/>
    </row>
    <row r="12" spans="1:17">
      <c r="A12" s="31" t="s">
        <v>2741</v>
      </c>
      <c r="D12" s="871"/>
      <c r="E12" s="31" t="s">
        <v>3231</v>
      </c>
      <c r="F12" s="219"/>
      <c r="G12" s="219"/>
    </row>
    <row r="13" spans="1:17">
      <c r="D13" s="273"/>
      <c r="F13" s="219"/>
      <c r="G13" s="219"/>
    </row>
    <row r="14" spans="1:17">
      <c r="A14" s="31" t="s">
        <v>3741</v>
      </c>
      <c r="D14" s="872"/>
      <c r="E14" s="31" t="s">
        <v>3742</v>
      </c>
      <c r="F14" s="319"/>
    </row>
    <row r="15" spans="1:17">
      <c r="D15" s="292"/>
      <c r="F15" s="319"/>
    </row>
    <row r="16" spans="1:17">
      <c r="A16" s="31" t="s">
        <v>3743</v>
      </c>
      <c r="D16" s="872"/>
      <c r="E16" s="31" t="s">
        <v>3742</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1203" t="s">
        <v>2742</v>
      </c>
      <c r="B24" s="1203"/>
      <c r="C24" s="1203"/>
      <c r="D24" s="1203"/>
      <c r="E24" s="1203"/>
      <c r="F24" s="1203"/>
      <c r="J24" s="321"/>
    </row>
    <row r="25" spans="1:10">
      <c r="C25" s="273"/>
      <c r="J25" s="321"/>
    </row>
    <row r="26" spans="1:10">
      <c r="A26" s="141"/>
      <c r="B26" s="111"/>
      <c r="C26" s="1207" t="s">
        <v>3385</v>
      </c>
      <c r="D26" s="316"/>
      <c r="E26" s="111"/>
      <c r="F26" s="1207" t="s">
        <v>3385</v>
      </c>
      <c r="J26" s="321"/>
    </row>
    <row r="27" spans="1:10">
      <c r="A27" s="322" t="s">
        <v>3754</v>
      </c>
      <c r="B27" s="736" t="s">
        <v>1646</v>
      </c>
      <c r="C27" s="1208"/>
      <c r="D27" s="323" t="s">
        <v>3754</v>
      </c>
      <c r="E27" s="736" t="s">
        <v>1646</v>
      </c>
      <c r="F27" s="1208"/>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0" t="str">
        <f>CONCATENATE('Part I-Project Information'!$O$4," ",'Part I-Project Information'!$F$22,", ",'Part I-Project Information'!$F$24,", ",'Part I-Project Information'!$J$25," County")</f>
        <v>2011-053 Hampton Court , Hampton, Henry County</v>
      </c>
      <c r="B50" s="1200"/>
      <c r="C50" s="1200"/>
      <c r="D50" s="1200"/>
      <c r="E50" s="1200"/>
      <c r="F50" s="1200"/>
      <c r="G50" s="300"/>
      <c r="H50" s="300"/>
    </row>
    <row r="51" spans="1:10" ht="13.8">
      <c r="A51" s="1201" t="s">
        <v>3744</v>
      </c>
      <c r="B51" s="1201"/>
      <c r="C51" s="1201"/>
      <c r="D51" s="1201"/>
      <c r="E51" s="1201"/>
      <c r="F51" s="1201"/>
      <c r="G51" s="333"/>
      <c r="H51" s="333"/>
      <c r="I51" s="333"/>
      <c r="J51" s="333"/>
    </row>
    <row r="52" spans="1:10" ht="5.4" customHeight="1">
      <c r="C52" s="273"/>
      <c r="D52" s="273"/>
      <c r="G52" s="278"/>
      <c r="H52" s="272"/>
      <c r="I52" s="278"/>
    </row>
    <row r="53" spans="1:10">
      <c r="A53" s="276" t="s">
        <v>3745</v>
      </c>
      <c r="B53" s="276" t="s">
        <v>3746</v>
      </c>
      <c r="C53" s="276" t="s">
        <v>1994</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0" zoomScaleNormal="85" zoomScaleSheetLayoutView="90" workbookViewId="0">
      <selection activeCell="J163" sqref="J163:L163"/>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301" t="str">
        <f>CONCATENATE("PART FOUR -  USES OF FUNDS","  -  ",'Part I-Project Information'!$O$4," ",'Part I-Project Information'!$F$22,", ",'Part I-Project Information'!F24,", ",'Part I-Project Information'!J25," County")</f>
        <v>PART FOUR -  USES OF FUNDS  -  2011-053 Hampton Court , Hampton, Henry County</v>
      </c>
      <c r="B1" s="1302"/>
      <c r="C1" s="1302"/>
      <c r="D1" s="1302"/>
      <c r="E1" s="1302"/>
      <c r="F1" s="1302"/>
      <c r="G1" s="1302"/>
      <c r="H1" s="1302"/>
      <c r="I1" s="1302"/>
      <c r="J1" s="1302"/>
      <c r="K1" s="1302"/>
      <c r="L1" s="1302"/>
      <c r="M1" s="1302"/>
      <c r="N1" s="1302"/>
      <c r="O1" s="1302"/>
      <c r="P1" s="1302"/>
      <c r="Q1" s="1302"/>
      <c r="R1" s="1302"/>
      <c r="S1" s="1302"/>
      <c r="T1" s="1302"/>
    </row>
    <row r="2" spans="1:21" ht="4.95" customHeight="1"/>
    <row r="3" spans="1:21" s="458" customFormat="1" ht="15" customHeight="1">
      <c r="A3" s="1303" t="s">
        <v>358</v>
      </c>
      <c r="B3" s="1303"/>
      <c r="C3" s="1303"/>
      <c r="D3" s="1303"/>
      <c r="E3" s="1303"/>
      <c r="F3" s="1303"/>
      <c r="G3" s="1303"/>
      <c r="H3" s="1303"/>
      <c r="I3" s="1303"/>
      <c r="J3" s="1303"/>
      <c r="K3" s="1303"/>
      <c r="L3" s="1303"/>
      <c r="M3" s="1303"/>
      <c r="N3" s="1303"/>
      <c r="O3" s="1303"/>
      <c r="P3" s="1303"/>
      <c r="Q3" s="1303"/>
      <c r="R3" s="1303"/>
      <c r="S3" s="1303"/>
      <c r="T3" s="1303"/>
    </row>
    <row r="4" spans="1:21" s="458" customFormat="1" ht="1.95"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1"/>
      <c r="I5" s="721"/>
      <c r="J5" s="1209" t="s">
        <v>359</v>
      </c>
      <c r="K5" s="1210"/>
      <c r="L5" s="522"/>
      <c r="M5" s="1286" t="s">
        <v>720</v>
      </c>
      <c r="N5" s="1287"/>
      <c r="P5" s="1209" t="s">
        <v>360</v>
      </c>
      <c r="Q5" s="1210"/>
      <c r="S5" s="1209" t="s">
        <v>361</v>
      </c>
      <c r="T5" s="1210"/>
    </row>
    <row r="6" spans="1:21" s="458" customFormat="1" ht="21" customHeight="1" thickBot="1">
      <c r="G6" s="1293" t="s">
        <v>115</v>
      </c>
      <c r="H6" s="1294"/>
      <c r="J6" s="1211"/>
      <c r="K6" s="1212"/>
      <c r="L6" s="522"/>
      <c r="M6" s="1288"/>
      <c r="N6" s="1289"/>
      <c r="P6" s="1211"/>
      <c r="Q6" s="1212"/>
      <c r="S6" s="1211"/>
      <c r="T6" s="1212"/>
    </row>
    <row r="7" spans="1:21" s="458" customFormat="1" ht="13.2" customHeight="1">
      <c r="B7" s="461" t="s">
        <v>116</v>
      </c>
      <c r="O7" s="735" t="str">
        <f>B7</f>
        <v>PRE-DEVELOPMENT COSTS</v>
      </c>
    </row>
    <row r="8" spans="1:21" s="458" customFormat="1" ht="12.6" customHeight="1">
      <c r="B8" s="458" t="s">
        <v>3079</v>
      </c>
      <c r="G8" s="1120">
        <v>3000</v>
      </c>
      <c r="H8" s="1121"/>
      <c r="J8" s="1120">
        <v>3000</v>
      </c>
      <c r="K8" s="1121"/>
      <c r="L8" s="733"/>
      <c r="M8" s="1120"/>
      <c r="N8" s="1121"/>
      <c r="P8" s="1120"/>
      <c r="Q8" s="1121"/>
      <c r="S8" s="1120"/>
      <c r="T8" s="1121"/>
    </row>
    <row r="9" spans="1:21" s="458" customFormat="1" ht="12.6" customHeight="1">
      <c r="B9" s="458" t="s">
        <v>671</v>
      </c>
      <c r="G9" s="1120">
        <v>6700</v>
      </c>
      <c r="H9" s="1121"/>
      <c r="J9" s="1120">
        <v>6700</v>
      </c>
      <c r="K9" s="1121"/>
      <c r="L9" s="733"/>
      <c r="M9" s="1120"/>
      <c r="N9" s="1121"/>
      <c r="P9" s="1120"/>
      <c r="Q9" s="1121"/>
      <c r="S9" s="1120"/>
      <c r="T9" s="1121"/>
    </row>
    <row r="10" spans="1:21" s="458" customFormat="1" ht="12.6" customHeight="1">
      <c r="B10" s="458" t="s">
        <v>717</v>
      </c>
      <c r="G10" s="1120">
        <v>6000</v>
      </c>
      <c r="H10" s="1121"/>
      <c r="J10" s="1120">
        <v>6000</v>
      </c>
      <c r="K10" s="1121"/>
      <c r="L10" s="733"/>
      <c r="M10" s="1120"/>
      <c r="N10" s="1121"/>
      <c r="P10" s="1120"/>
      <c r="Q10" s="1121"/>
      <c r="S10" s="1120"/>
      <c r="T10" s="1121"/>
    </row>
    <row r="11" spans="1:21" s="458" customFormat="1" ht="12.6" customHeight="1">
      <c r="B11" s="458" t="s">
        <v>718</v>
      </c>
      <c r="G11" s="1120">
        <v>9500</v>
      </c>
      <c r="H11" s="1121"/>
      <c r="J11" s="1120">
        <v>9500</v>
      </c>
      <c r="K11" s="1121"/>
      <c r="L11" s="733"/>
      <c r="M11" s="1120"/>
      <c r="N11" s="1121"/>
      <c r="P11" s="1120"/>
      <c r="Q11" s="1121"/>
      <c r="S11" s="1120"/>
      <c r="T11" s="1121"/>
    </row>
    <row r="12" spans="1:21" s="458" customFormat="1" ht="12.6" customHeight="1">
      <c r="B12" s="458" t="s">
        <v>3780</v>
      </c>
      <c r="G12" s="1120">
        <v>15000</v>
      </c>
      <c r="H12" s="1121"/>
      <c r="J12" s="1120">
        <v>15000</v>
      </c>
      <c r="K12" s="1121"/>
      <c r="L12" s="733"/>
      <c r="M12" s="1120"/>
      <c r="N12" s="1121"/>
      <c r="P12" s="1120"/>
      <c r="Q12" s="1121"/>
      <c r="S12" s="1120"/>
      <c r="T12" s="1121"/>
    </row>
    <row r="13" spans="1:21" s="458" customFormat="1" ht="12.6" customHeight="1">
      <c r="B13" s="458" t="s">
        <v>248</v>
      </c>
      <c r="G13" s="1120">
        <v>10138</v>
      </c>
      <c r="H13" s="1121"/>
      <c r="J13" s="1120">
        <v>10138</v>
      </c>
      <c r="K13" s="1121"/>
      <c r="L13" s="733"/>
      <c r="M13" s="1120"/>
      <c r="N13" s="1121"/>
      <c r="P13" s="1120"/>
      <c r="Q13" s="1121"/>
      <c r="S13" s="1120"/>
      <c r="T13" s="1121"/>
    </row>
    <row r="14" spans="1:21" s="458" customFormat="1" ht="12.6" customHeight="1">
      <c r="A14" s="562" t="str">
        <f>IF(AND(G14&gt;0,OR(C14="",C14="&lt;Enter detailed description here; use Comments section if needed&gt;")),"X","")</f>
        <v/>
      </c>
      <c r="B14" s="458" t="s">
        <v>1230</v>
      </c>
      <c r="C14" s="1036" t="s">
        <v>4005</v>
      </c>
      <c r="D14" s="1036"/>
      <c r="E14" s="1036"/>
      <c r="F14" s="1037"/>
      <c r="G14" s="1120">
        <v>15000</v>
      </c>
      <c r="H14" s="1121"/>
      <c r="J14" s="1120">
        <v>15000</v>
      </c>
      <c r="K14" s="1121"/>
      <c r="L14" s="733"/>
      <c r="M14" s="1120"/>
      <c r="N14" s="1121"/>
      <c r="P14" s="1120"/>
      <c r="Q14" s="1121"/>
      <c r="S14" s="1120"/>
      <c r="T14" s="112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036" t="s">
        <v>3660</v>
      </c>
      <c r="D15" s="1036"/>
      <c r="E15" s="1036"/>
      <c r="F15" s="1037"/>
      <c r="G15" s="1120"/>
      <c r="H15" s="1121"/>
      <c r="J15" s="1120"/>
      <c r="K15" s="1121"/>
      <c r="L15" s="733"/>
      <c r="M15" s="1120"/>
      <c r="N15" s="1121"/>
      <c r="P15" s="1120"/>
      <c r="Q15" s="1121"/>
      <c r="S15" s="1120"/>
      <c r="T15" s="112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036" t="s">
        <v>3660</v>
      </c>
      <c r="D16" s="1036"/>
      <c r="E16" s="1036"/>
      <c r="F16" s="1037"/>
      <c r="G16" s="1120"/>
      <c r="H16" s="1121"/>
      <c r="J16" s="1290"/>
      <c r="K16" s="1291"/>
      <c r="L16" s="733"/>
      <c r="M16" s="1120"/>
      <c r="N16" s="1121"/>
      <c r="P16" s="1120"/>
      <c r="Q16" s="1121"/>
      <c r="S16" s="1290"/>
      <c r="T16" s="1291"/>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1213">
        <f>SUM(G8:H16)</f>
        <v>65338</v>
      </c>
      <c r="H17" s="1214"/>
      <c r="J17" s="1213">
        <f>SUM(J8:K16)</f>
        <v>65338</v>
      </c>
      <c r="K17" s="1292"/>
      <c r="L17" s="733"/>
      <c r="M17" s="1213">
        <f>SUM(M8:N16)</f>
        <v>0</v>
      </c>
      <c r="N17" s="1214"/>
      <c r="P17" s="1213">
        <f>SUM(P8:Q16)</f>
        <v>0</v>
      </c>
      <c r="Q17" s="1214"/>
      <c r="S17" s="1213">
        <f>SUM(S8:T16)</f>
        <v>0</v>
      </c>
      <c r="T17" s="1214"/>
    </row>
    <row r="18" spans="2:20" s="458" customFormat="1" ht="13.2" customHeight="1">
      <c r="B18" s="461" t="s">
        <v>3306</v>
      </c>
      <c r="J18" s="522"/>
      <c r="K18" s="522"/>
      <c r="M18" s="522"/>
      <c r="N18" s="522"/>
      <c r="O18" s="524" t="str">
        <f>B18</f>
        <v>ACQUISITION</v>
      </c>
      <c r="P18" s="522"/>
      <c r="Q18" s="522"/>
      <c r="S18" s="522"/>
      <c r="T18" s="522"/>
    </row>
    <row r="19" spans="2:20" s="458" customFormat="1" ht="12.6" customHeight="1">
      <c r="B19" s="458" t="s">
        <v>3307</v>
      </c>
      <c r="G19" s="1120">
        <v>440367</v>
      </c>
      <c r="H19" s="1121"/>
      <c r="J19" s="525"/>
      <c r="K19" s="522"/>
      <c r="L19" s="525"/>
      <c r="M19" s="525"/>
      <c r="N19" s="522"/>
      <c r="P19" s="525"/>
      <c r="Q19" s="522"/>
      <c r="S19" s="1120">
        <v>440367</v>
      </c>
      <c r="T19" s="1121"/>
    </row>
    <row r="20" spans="2:20" s="458" customFormat="1" ht="12.6" customHeight="1">
      <c r="B20" s="458" t="s">
        <v>1750</v>
      </c>
      <c r="G20" s="1120"/>
      <c r="H20" s="1121"/>
      <c r="J20" s="525"/>
      <c r="K20" s="522"/>
      <c r="L20" s="525"/>
      <c r="M20" s="525"/>
      <c r="N20" s="522"/>
      <c r="P20" s="525"/>
      <c r="Q20" s="522"/>
      <c r="S20" s="1120"/>
      <c r="T20" s="1121"/>
    </row>
    <row r="21" spans="2:20" s="458" customFormat="1" ht="12.6" customHeight="1">
      <c r="B21" s="458" t="s">
        <v>672</v>
      </c>
      <c r="G21" s="1120"/>
      <c r="H21" s="1121"/>
      <c r="J21" s="525"/>
      <c r="K21" s="522"/>
      <c r="L21" s="525"/>
      <c r="M21" s="1120"/>
      <c r="N21" s="1121"/>
      <c r="P21" s="525"/>
      <c r="Q21" s="522"/>
      <c r="S21" s="1120"/>
      <c r="T21" s="1121"/>
    </row>
    <row r="22" spans="2:20" s="458" customFormat="1" ht="12.6" customHeight="1" thickBot="1">
      <c r="B22" s="458" t="s">
        <v>637</v>
      </c>
      <c r="G22" s="1284"/>
      <c r="H22" s="1285"/>
      <c r="J22" s="525"/>
      <c r="K22" s="522"/>
      <c r="L22" s="525"/>
      <c r="M22" s="1284"/>
      <c r="N22" s="1285"/>
      <c r="P22" s="525"/>
      <c r="Q22" s="522"/>
      <c r="S22" s="1120"/>
      <c r="T22" s="1121"/>
    </row>
    <row r="23" spans="2:20" s="458" customFormat="1" ht="12.6" customHeight="1" thickTop="1">
      <c r="F23" s="523" t="s">
        <v>249</v>
      </c>
      <c r="G23" s="1213">
        <f>SUM(G19:H22)</f>
        <v>440367</v>
      </c>
      <c r="H23" s="1214"/>
      <c r="J23" s="525"/>
      <c r="K23" s="522"/>
      <c r="L23" s="525"/>
      <c r="M23" s="1213">
        <f>SUM(M21:N22)</f>
        <v>0</v>
      </c>
      <c r="N23" s="1214"/>
      <c r="P23" s="525"/>
      <c r="Q23" s="522"/>
      <c r="S23" s="1213">
        <f>SUM(S19:T22)</f>
        <v>440367</v>
      </c>
      <c r="T23" s="1214"/>
    </row>
    <row r="24" spans="2:20" s="458" customFormat="1" ht="13.2" customHeight="1">
      <c r="B24" s="461" t="s">
        <v>1751</v>
      </c>
      <c r="J24" s="525"/>
      <c r="K24" s="522"/>
      <c r="M24" s="525"/>
      <c r="N24" s="522"/>
      <c r="O24" s="524" t="str">
        <f>B24</f>
        <v>LAND IMPROVEMENTS</v>
      </c>
      <c r="P24" s="525"/>
      <c r="Q24" s="522"/>
      <c r="S24" s="525"/>
      <c r="T24" s="522"/>
    </row>
    <row r="25" spans="2:20" s="458" customFormat="1" ht="12.6" customHeight="1">
      <c r="B25" s="458" t="s">
        <v>1752</v>
      </c>
      <c r="G25" s="1120">
        <v>1148000</v>
      </c>
      <c r="H25" s="1121"/>
      <c r="J25" s="1120">
        <v>1148000</v>
      </c>
      <c r="K25" s="1121"/>
      <c r="L25" s="733"/>
      <c r="M25" s="1290"/>
      <c r="N25" s="1291"/>
      <c r="P25" s="1290"/>
      <c r="Q25" s="1291"/>
      <c r="S25" s="1120"/>
      <c r="T25" s="1121"/>
    </row>
    <row r="26" spans="2:20" s="458" customFormat="1" ht="12.6" customHeight="1" thickBot="1">
      <c r="B26" s="458" t="s">
        <v>1753</v>
      </c>
      <c r="G26" s="1120">
        <v>9800</v>
      </c>
      <c r="H26" s="1121"/>
      <c r="J26" s="1290"/>
      <c r="K26" s="1291"/>
      <c r="L26" s="526"/>
      <c r="M26" s="1300"/>
      <c r="N26" s="1300"/>
      <c r="P26" s="1300"/>
      <c r="Q26" s="1300"/>
      <c r="S26" s="1120">
        <v>9800</v>
      </c>
      <c r="T26" s="1121"/>
    </row>
    <row r="27" spans="2:20" s="458" customFormat="1" ht="12.6" customHeight="1" thickTop="1">
      <c r="F27" s="523" t="s">
        <v>249</v>
      </c>
      <c r="G27" s="1213">
        <f>SUM(G25:H26)</f>
        <v>1157800</v>
      </c>
      <c r="H27" s="1214"/>
      <c r="J27" s="1213">
        <f>SUM(J25:K26)</f>
        <v>1148000</v>
      </c>
      <c r="K27" s="1214"/>
      <c r="L27" s="525"/>
      <c r="M27" s="1213">
        <f>M25</f>
        <v>0</v>
      </c>
      <c r="N27" s="1214"/>
      <c r="P27" s="1213">
        <f>P25</f>
        <v>0</v>
      </c>
      <c r="Q27" s="1214"/>
      <c r="S27" s="1213">
        <f>SUM(S25:T26)</f>
        <v>9800</v>
      </c>
      <c r="T27" s="1214"/>
    </row>
    <row r="28" spans="2:20" s="458" customFormat="1" ht="13.2" customHeight="1">
      <c r="B28" s="461" t="s">
        <v>1754</v>
      </c>
      <c r="J28" s="525"/>
      <c r="K28" s="522"/>
      <c r="M28" s="525"/>
      <c r="N28" s="522"/>
      <c r="O28" s="524" t="str">
        <f>B28</f>
        <v>STRUCTURES</v>
      </c>
      <c r="P28" s="525"/>
      <c r="Q28" s="522"/>
      <c r="S28" s="525"/>
      <c r="T28" s="522"/>
    </row>
    <row r="29" spans="2:20" s="458" customFormat="1" ht="12.6" customHeight="1">
      <c r="B29" s="458" t="s">
        <v>1755</v>
      </c>
      <c r="G29" s="1120">
        <v>3783000</v>
      </c>
      <c r="H29" s="1121"/>
      <c r="J29" s="1120">
        <v>3783000</v>
      </c>
      <c r="K29" s="1121"/>
      <c r="L29" s="733"/>
      <c r="M29" s="1120"/>
      <c r="N29" s="1121"/>
      <c r="P29" s="1120"/>
      <c r="Q29" s="1121"/>
      <c r="S29" s="1120"/>
      <c r="T29" s="1121"/>
    </row>
    <row r="30" spans="2:20" s="458" customFormat="1" ht="12.6" customHeight="1">
      <c r="B30" s="458" t="s">
        <v>1756</v>
      </c>
      <c r="G30" s="1120"/>
      <c r="H30" s="1121"/>
      <c r="J30" s="1120"/>
      <c r="K30" s="1121"/>
      <c r="L30" s="733"/>
      <c r="M30" s="1120"/>
      <c r="N30" s="1121"/>
      <c r="P30" s="1120"/>
      <c r="Q30" s="1121"/>
      <c r="S30" s="1120"/>
      <c r="T30" s="1121"/>
    </row>
    <row r="31" spans="2:20" ht="12.6" customHeight="1" thickBot="1">
      <c r="B31" s="458" t="s">
        <v>1757</v>
      </c>
      <c r="G31" s="1120"/>
      <c r="H31" s="1121"/>
      <c r="I31" s="458"/>
      <c r="J31" s="1120"/>
      <c r="K31" s="1121"/>
      <c r="L31" s="733"/>
      <c r="M31" s="1120"/>
      <c r="N31" s="1121"/>
      <c r="O31" s="458"/>
      <c r="P31" s="1120"/>
      <c r="Q31" s="1121"/>
      <c r="R31" s="458"/>
      <c r="S31" s="1120"/>
      <c r="T31" s="1121"/>
    </row>
    <row r="32" spans="2:20" s="458" customFormat="1" ht="12.6" customHeight="1" thickTop="1">
      <c r="C32" s="1295"/>
      <c r="D32" s="1295"/>
      <c r="E32" s="734"/>
      <c r="F32" s="523" t="s">
        <v>249</v>
      </c>
      <c r="G32" s="1213">
        <f>SUM(G29:H31)</f>
        <v>3783000</v>
      </c>
      <c r="H32" s="1214"/>
      <c r="J32" s="1213">
        <f>SUM(J29:K31)</f>
        <v>3783000</v>
      </c>
      <c r="K32" s="1214"/>
      <c r="L32" s="733"/>
      <c r="M32" s="1213">
        <f>SUM(M29:N31)</f>
        <v>0</v>
      </c>
      <c r="N32" s="1214"/>
      <c r="P32" s="1213">
        <f>SUM(P29:Q31)</f>
        <v>0</v>
      </c>
      <c r="Q32" s="1214"/>
      <c r="S32" s="1213">
        <f>SUM(S29:T31)</f>
        <v>0</v>
      </c>
      <c r="T32" s="1214"/>
    </row>
    <row r="33" spans="1:20" s="458" customFormat="1" ht="13.2" customHeight="1">
      <c r="B33" s="461" t="s">
        <v>3493</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296448</v>
      </c>
      <c r="G34" s="1120">
        <v>296448</v>
      </c>
      <c r="H34" s="1121"/>
      <c r="I34" s="482"/>
      <c r="J34" s="1120">
        <v>296448</v>
      </c>
      <c r="K34" s="1121"/>
      <c r="L34" s="733"/>
      <c r="M34" s="1120"/>
      <c r="N34" s="1121"/>
      <c r="P34" s="1120"/>
      <c r="Q34" s="1121"/>
      <c r="S34" s="1120"/>
      <c r="T34" s="1121"/>
    </row>
    <row r="35" spans="1:20" s="458" customFormat="1" ht="12.6" customHeight="1" thickBot="1">
      <c r="B35" s="458" t="s">
        <v>3130</v>
      </c>
      <c r="E35" s="619">
        <f>'DCA Underwriting Assumptions'!$R$39+'DCA Underwriting Assumptions'!$R$40</f>
        <v>0.08</v>
      </c>
      <c r="F35" s="620">
        <f>E35*($G$27+$G$32)</f>
        <v>395264</v>
      </c>
      <c r="G35" s="1120">
        <v>395264</v>
      </c>
      <c r="H35" s="1121"/>
      <c r="I35" s="482"/>
      <c r="J35" s="1120">
        <v>395264</v>
      </c>
      <c r="K35" s="1121"/>
      <c r="L35" s="733"/>
      <c r="M35" s="1120"/>
      <c r="N35" s="1121"/>
      <c r="P35" s="1120"/>
      <c r="Q35" s="1121"/>
      <c r="S35" s="1120"/>
      <c r="T35" s="1121"/>
    </row>
    <row r="36" spans="1:20" s="458" customFormat="1" ht="12.6" customHeight="1" thickTop="1">
      <c r="B36" s="458" t="s">
        <v>3131</v>
      </c>
      <c r="D36" s="530"/>
      <c r="E36" s="721"/>
      <c r="F36" s="621" t="s">
        <v>249</v>
      </c>
      <c r="G36" s="1213">
        <f>SUM(G34:H35)</f>
        <v>691712</v>
      </c>
      <c r="H36" s="1214"/>
      <c r="J36" s="1213">
        <f>SUM(J34:K35)</f>
        <v>691712</v>
      </c>
      <c r="K36" s="1214"/>
      <c r="L36" s="525"/>
      <c r="M36" s="1213">
        <f>SUM(M34:N35)</f>
        <v>0</v>
      </c>
      <c r="N36" s="1214"/>
      <c r="P36" s="1213">
        <f>SUM(P34:Q35)</f>
        <v>0</v>
      </c>
      <c r="Q36" s="1214"/>
      <c r="S36" s="1213">
        <f>SUM(S34:T35)</f>
        <v>0</v>
      </c>
      <c r="T36" s="1214"/>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93875.199999999997</v>
      </c>
      <c r="E38" s="533"/>
      <c r="F38" s="534" t="s">
        <v>2110</v>
      </c>
    </row>
    <row r="39" spans="1:20" s="458" customFormat="1" ht="12.6" customHeight="1">
      <c r="B39" s="1296">
        <f>G27+G32+G36</f>
        <v>5632512</v>
      </c>
      <c r="C39" s="1297"/>
      <c r="D39" s="535">
        <f>B39/'Part VI-Revenues &amp; Expenses'!$M$98</f>
        <v>78.229333333333329</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2" customHeight="1">
      <c r="B41" s="461" t="s">
        <v>1758</v>
      </c>
      <c r="J41" s="525"/>
      <c r="K41" s="522"/>
      <c r="M41" s="525"/>
      <c r="N41" s="522"/>
      <c r="O41" s="524" t="str">
        <f>B41</f>
        <v>CONSTRUCTION CONTINGENCY</v>
      </c>
      <c r="P41" s="525"/>
      <c r="Q41" s="522"/>
      <c r="S41" s="525"/>
      <c r="T41" s="522"/>
    </row>
    <row r="42" spans="1:20" ht="12.6" customHeight="1">
      <c r="B42" s="458" t="s">
        <v>3038</v>
      </c>
      <c r="F42" s="646">
        <f>G42/$B$39</f>
        <v>5.0000071016271248E-2</v>
      </c>
      <c r="G42" s="1120">
        <v>281626</v>
      </c>
      <c r="H42" s="1121"/>
      <c r="I42" s="458"/>
      <c r="J42" s="1120">
        <v>281626</v>
      </c>
      <c r="K42" s="1121"/>
      <c r="L42" s="733"/>
      <c r="M42" s="1120"/>
      <c r="N42" s="1121"/>
      <c r="O42" s="458"/>
      <c r="P42" s="1120"/>
      <c r="Q42" s="1121"/>
      <c r="R42" s="458"/>
      <c r="S42" s="1120"/>
      <c r="T42" s="1121"/>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1"/>
      <c r="I45" s="721"/>
      <c r="J45" s="1209" t="s">
        <v>359</v>
      </c>
      <c r="K45" s="1210"/>
      <c r="L45" s="522"/>
      <c r="M45" s="1286" t="s">
        <v>720</v>
      </c>
      <c r="N45" s="1287"/>
      <c r="P45" s="1209" t="s">
        <v>360</v>
      </c>
      <c r="Q45" s="1210"/>
      <c r="S45" s="1209" t="s">
        <v>361</v>
      </c>
      <c r="T45" s="1210"/>
    </row>
    <row r="46" spans="1:20" s="458" customFormat="1" ht="21" customHeight="1" thickBot="1">
      <c r="G46" s="1293" t="s">
        <v>115</v>
      </c>
      <c r="H46" s="1294"/>
      <c r="J46" s="1211"/>
      <c r="K46" s="1212"/>
      <c r="L46" s="522"/>
      <c r="M46" s="1288"/>
      <c r="N46" s="1289"/>
      <c r="P46" s="1211"/>
      <c r="Q46" s="1212"/>
      <c r="S46" s="1211"/>
      <c r="T46" s="1212"/>
    </row>
    <row r="47" spans="1:20" s="458" customFormat="1" ht="13.2" customHeight="1">
      <c r="B47" s="461" t="s">
        <v>1091</v>
      </c>
      <c r="J47" s="525"/>
      <c r="K47" s="522"/>
      <c r="M47" s="525"/>
      <c r="N47" s="522"/>
      <c r="O47" s="524" t="str">
        <f>B47</f>
        <v>CONSTRUCTION PERIOD FINANCING</v>
      </c>
      <c r="P47" s="525"/>
      <c r="Q47" s="522"/>
      <c r="S47" s="525"/>
      <c r="T47" s="522"/>
    </row>
    <row r="48" spans="1:20" s="458" customFormat="1" ht="13.2" customHeight="1">
      <c r="B48" s="458" t="s">
        <v>3496</v>
      </c>
      <c r="G48" s="1120">
        <v>62000</v>
      </c>
      <c r="H48" s="1121"/>
      <c r="J48" s="1120">
        <v>62000</v>
      </c>
      <c r="K48" s="1121"/>
      <c r="L48" s="733"/>
      <c r="M48" s="1120"/>
      <c r="N48" s="1121"/>
      <c r="P48" s="1120"/>
      <c r="Q48" s="1121"/>
      <c r="S48" s="1120"/>
      <c r="T48" s="1121"/>
    </row>
    <row r="49" spans="1:21" s="458" customFormat="1" ht="13.2" customHeight="1">
      <c r="B49" s="458" t="s">
        <v>3497</v>
      </c>
      <c r="G49" s="1120">
        <v>235000</v>
      </c>
      <c r="H49" s="1121"/>
      <c r="J49" s="1120">
        <v>235000</v>
      </c>
      <c r="K49" s="1121"/>
      <c r="L49" s="733"/>
      <c r="M49" s="1120"/>
      <c r="N49" s="1121"/>
      <c r="P49" s="1120"/>
      <c r="Q49" s="1121"/>
      <c r="S49" s="1120"/>
      <c r="T49" s="1121"/>
    </row>
    <row r="50" spans="1:21" s="458" customFormat="1" ht="13.2" customHeight="1">
      <c r="B50" s="458" t="s">
        <v>3498</v>
      </c>
      <c r="G50" s="1120">
        <v>55000</v>
      </c>
      <c r="H50" s="1121"/>
      <c r="J50" s="1120">
        <v>55000</v>
      </c>
      <c r="K50" s="1121"/>
      <c r="L50" s="733"/>
      <c r="M50" s="1120"/>
      <c r="N50" s="1121"/>
      <c r="P50" s="1120"/>
      <c r="Q50" s="1121"/>
      <c r="S50" s="1120"/>
      <c r="T50" s="1121"/>
    </row>
    <row r="51" spans="1:21" s="458" customFormat="1" ht="13.2" customHeight="1">
      <c r="B51" s="458" t="s">
        <v>1092</v>
      </c>
      <c r="G51" s="1120">
        <v>5000</v>
      </c>
      <c r="H51" s="1121"/>
      <c r="J51" s="1120">
        <v>5000</v>
      </c>
      <c r="K51" s="1121"/>
      <c r="L51" s="733"/>
      <c r="M51" s="1120"/>
      <c r="N51" s="1121"/>
      <c r="P51" s="1120"/>
      <c r="Q51" s="1121"/>
      <c r="S51" s="1120"/>
      <c r="T51" s="1121"/>
    </row>
    <row r="52" spans="1:21" s="458" customFormat="1" ht="13.2" customHeight="1">
      <c r="B52" s="458" t="s">
        <v>3499</v>
      </c>
      <c r="G52" s="1120">
        <v>18500</v>
      </c>
      <c r="H52" s="1121"/>
      <c r="J52" s="1120">
        <v>18500</v>
      </c>
      <c r="K52" s="1121"/>
      <c r="L52" s="733"/>
      <c r="M52" s="1120"/>
      <c r="N52" s="1121"/>
      <c r="P52" s="1120"/>
      <c r="Q52" s="1121"/>
      <c r="S52" s="1120"/>
      <c r="T52" s="1121"/>
    </row>
    <row r="53" spans="1:21" s="458" customFormat="1" ht="13.2" customHeight="1">
      <c r="B53" s="458" t="s">
        <v>371</v>
      </c>
      <c r="G53" s="1120"/>
      <c r="H53" s="1121"/>
      <c r="J53" s="1120"/>
      <c r="K53" s="1121"/>
      <c r="L53" s="733"/>
      <c r="M53" s="1120"/>
      <c r="N53" s="1121"/>
      <c r="P53" s="1120"/>
      <c r="Q53" s="1121"/>
      <c r="S53" s="1120"/>
      <c r="T53" s="1121"/>
    </row>
    <row r="54" spans="1:21" s="458" customFormat="1" ht="12.6" customHeight="1">
      <c r="B54" s="529" t="s">
        <v>1795</v>
      </c>
      <c r="D54" s="527"/>
      <c r="E54" s="527"/>
      <c r="F54" s="528"/>
      <c r="G54" s="1120"/>
      <c r="H54" s="1121"/>
      <c r="I54" s="482"/>
      <c r="J54" s="1120"/>
      <c r="K54" s="1121"/>
      <c r="L54" s="733"/>
      <c r="M54" s="1120"/>
      <c r="N54" s="1121"/>
      <c r="P54" s="1120"/>
      <c r="Q54" s="1121"/>
      <c r="S54" s="1120"/>
      <c r="T54" s="1121"/>
    </row>
    <row r="55" spans="1:21" s="458" customFormat="1" ht="13.2" customHeight="1" thickBot="1">
      <c r="A55" s="562" t="str">
        <f>IF(AND(G55&gt;0,OR(C55="",C55="&lt;Enter detailed description here; use Comments section if needed&gt;")),"X","")</f>
        <v/>
      </c>
      <c r="B55" s="458" t="s">
        <v>1230</v>
      </c>
      <c r="C55" s="1036" t="s">
        <v>3660</v>
      </c>
      <c r="D55" s="1036"/>
      <c r="E55" s="1036"/>
      <c r="F55" s="1037"/>
      <c r="G55" s="1284"/>
      <c r="H55" s="1285"/>
      <c r="J55" s="1284"/>
      <c r="K55" s="1285"/>
      <c r="L55" s="733"/>
      <c r="M55" s="1284"/>
      <c r="N55" s="1285"/>
      <c r="P55" s="1284"/>
      <c r="Q55" s="1285"/>
      <c r="S55" s="1120"/>
      <c r="T55" s="1121"/>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249</v>
      </c>
      <c r="G56" s="1213">
        <f>SUM(G48:H55)</f>
        <v>375500</v>
      </c>
      <c r="H56" s="1214"/>
      <c r="J56" s="1213">
        <f>SUM(J48:K55)</f>
        <v>375500</v>
      </c>
      <c r="K56" s="1214"/>
      <c r="L56" s="525"/>
      <c r="M56" s="1213">
        <f>SUM(M48:N55)</f>
        <v>0</v>
      </c>
      <c r="N56" s="1214"/>
      <c r="P56" s="1213">
        <f>SUM(P48:Q55)</f>
        <v>0</v>
      </c>
      <c r="Q56" s="1214"/>
      <c r="S56" s="1213">
        <f>SUM(S48:T55)</f>
        <v>0</v>
      </c>
      <c r="T56" s="1214"/>
    </row>
    <row r="57" spans="1:21" s="458" customFormat="1" ht="13.2" customHeight="1">
      <c r="B57" s="461" t="s">
        <v>704</v>
      </c>
      <c r="G57" s="522"/>
      <c r="H57" s="522"/>
      <c r="J57" s="522"/>
      <c r="K57" s="522"/>
      <c r="M57" s="522"/>
      <c r="N57" s="522"/>
      <c r="O57" s="524" t="str">
        <f>B57</f>
        <v>PROFESSIONAL SERVICES</v>
      </c>
      <c r="P57" s="522"/>
      <c r="Q57" s="522"/>
      <c r="S57" s="522"/>
      <c r="T57" s="522"/>
    </row>
    <row r="58" spans="1:21" s="458" customFormat="1" ht="13.2" customHeight="1">
      <c r="B58" s="458" t="s">
        <v>705</v>
      </c>
      <c r="G58" s="1120">
        <v>63000</v>
      </c>
      <c r="H58" s="1121"/>
      <c r="J58" s="1120">
        <v>63000</v>
      </c>
      <c r="K58" s="1121"/>
      <c r="L58" s="733"/>
      <c r="M58" s="1120"/>
      <c r="N58" s="1121"/>
      <c r="P58" s="1120"/>
      <c r="Q58" s="1121"/>
      <c r="S58" s="1120"/>
      <c r="T58" s="1121"/>
    </row>
    <row r="59" spans="1:21" s="458" customFormat="1" ht="13.2" customHeight="1">
      <c r="B59" s="458" t="s">
        <v>706</v>
      </c>
      <c r="G59" s="1120">
        <v>21000</v>
      </c>
      <c r="H59" s="1121"/>
      <c r="J59" s="1120">
        <v>21000</v>
      </c>
      <c r="K59" s="1121"/>
      <c r="L59" s="733"/>
      <c r="M59" s="1120"/>
      <c r="N59" s="1121"/>
      <c r="P59" s="1120"/>
      <c r="Q59" s="1121"/>
      <c r="S59" s="1120"/>
      <c r="T59" s="1121"/>
    </row>
    <row r="60" spans="1:21" s="458" customFormat="1" ht="13.2" customHeight="1">
      <c r="B60" s="458" t="s">
        <v>1761</v>
      </c>
      <c r="G60" s="1120">
        <v>12500</v>
      </c>
      <c r="H60" s="1121"/>
      <c r="J60" s="1120">
        <v>12500</v>
      </c>
      <c r="K60" s="1121"/>
      <c r="L60" s="733"/>
      <c r="M60" s="1120"/>
      <c r="N60" s="1121"/>
      <c r="P60" s="1120"/>
      <c r="Q60" s="1121"/>
      <c r="S60" s="1120"/>
      <c r="T60" s="1121"/>
    </row>
    <row r="61" spans="1:21" s="458" customFormat="1" ht="13.2" customHeight="1">
      <c r="B61" s="458" t="s">
        <v>1762</v>
      </c>
      <c r="G61" s="1120">
        <v>12500</v>
      </c>
      <c r="H61" s="1121"/>
      <c r="J61" s="1120">
        <v>12500</v>
      </c>
      <c r="K61" s="1121"/>
      <c r="L61" s="733"/>
      <c r="M61" s="1120"/>
      <c r="N61" s="1121"/>
      <c r="P61" s="1120"/>
      <c r="Q61" s="1121"/>
      <c r="S61" s="1120"/>
      <c r="T61" s="1121"/>
    </row>
    <row r="62" spans="1:21" s="458" customFormat="1" ht="13.2" customHeight="1">
      <c r="B62" s="458" t="s">
        <v>1763</v>
      </c>
      <c r="G62" s="1120">
        <v>5000</v>
      </c>
      <c r="H62" s="1121"/>
      <c r="J62" s="1120">
        <v>5000</v>
      </c>
      <c r="K62" s="1121"/>
      <c r="L62" s="733"/>
      <c r="M62" s="1120"/>
      <c r="N62" s="1121"/>
      <c r="P62" s="1120"/>
      <c r="Q62" s="1121"/>
      <c r="S62" s="1120"/>
      <c r="T62" s="1121"/>
    </row>
    <row r="63" spans="1:21" s="458" customFormat="1" ht="13.2" customHeight="1">
      <c r="B63" s="458" t="s">
        <v>1764</v>
      </c>
      <c r="G63" s="1120">
        <v>38000</v>
      </c>
      <c r="H63" s="1121"/>
      <c r="J63" s="1120">
        <v>38000</v>
      </c>
      <c r="K63" s="1121"/>
      <c r="L63" s="733"/>
      <c r="M63" s="1120"/>
      <c r="N63" s="1121"/>
      <c r="P63" s="1120"/>
      <c r="Q63" s="1121"/>
      <c r="S63" s="1120"/>
      <c r="T63" s="1121"/>
    </row>
    <row r="64" spans="1:21" s="458" customFormat="1" ht="13.2" customHeight="1">
      <c r="B64" s="458" t="s">
        <v>707</v>
      </c>
      <c r="G64" s="1120">
        <v>50000</v>
      </c>
      <c r="H64" s="1121"/>
      <c r="J64" s="1120">
        <v>50000</v>
      </c>
      <c r="K64" s="1121"/>
      <c r="L64" s="733"/>
      <c r="M64" s="1120"/>
      <c r="N64" s="1121"/>
      <c r="P64" s="1120"/>
      <c r="Q64" s="1121"/>
      <c r="S64" s="1120"/>
      <c r="T64" s="1121"/>
    </row>
    <row r="65" spans="1:21" s="458" customFormat="1" ht="13.2" customHeight="1">
      <c r="B65" s="458" t="s">
        <v>708</v>
      </c>
      <c r="G65" s="1120">
        <v>10000</v>
      </c>
      <c r="H65" s="1121"/>
      <c r="J65" s="1120">
        <v>10000</v>
      </c>
      <c r="K65" s="1121"/>
      <c r="L65" s="733"/>
      <c r="M65" s="1120"/>
      <c r="N65" s="1121"/>
      <c r="P65" s="1120"/>
      <c r="Q65" s="1121"/>
      <c r="S65" s="1120"/>
      <c r="T65" s="1121"/>
    </row>
    <row r="66" spans="1:21" s="458" customFormat="1" ht="13.2" customHeight="1">
      <c r="B66" s="458" t="s">
        <v>3141</v>
      </c>
      <c r="G66" s="1120">
        <v>15000</v>
      </c>
      <c r="H66" s="1121"/>
      <c r="J66" s="1120">
        <v>15000</v>
      </c>
      <c r="K66" s="1121"/>
      <c r="L66" s="733"/>
      <c r="M66" s="1120"/>
      <c r="N66" s="1121"/>
      <c r="P66" s="1120"/>
      <c r="Q66" s="1121"/>
      <c r="S66" s="1120"/>
      <c r="T66" s="1121"/>
    </row>
    <row r="67" spans="1:21" s="458" customFormat="1" ht="13.2" customHeight="1" thickBot="1">
      <c r="A67" s="562" t="str">
        <f>IF(AND(G67&gt;0,OR(C67="",C67="&lt;Enter detailed description here; use Comments section if needed&gt;")),"X","")</f>
        <v/>
      </c>
      <c r="B67" s="458" t="s">
        <v>1230</v>
      </c>
      <c r="C67" s="1036" t="s">
        <v>3660</v>
      </c>
      <c r="D67" s="1036"/>
      <c r="E67" s="1036"/>
      <c r="F67" s="1037"/>
      <c r="G67" s="1120"/>
      <c r="H67" s="1121"/>
      <c r="J67" s="1120"/>
      <c r="K67" s="1121"/>
      <c r="L67" s="733"/>
      <c r="M67" s="1120"/>
      <c r="N67" s="1121"/>
      <c r="P67" s="1120"/>
      <c r="Q67" s="1121"/>
      <c r="S67" s="1120"/>
      <c r="T67" s="1121"/>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249</v>
      </c>
      <c r="G68" s="1213">
        <f>SUM(G58:H67)</f>
        <v>227000</v>
      </c>
      <c r="H68" s="1214"/>
      <c r="J68" s="1213">
        <f>SUM(J58:K67)</f>
        <v>227000</v>
      </c>
      <c r="K68" s="1214"/>
      <c r="L68" s="525"/>
      <c r="M68" s="1213">
        <f>SUM(M58:N67)</f>
        <v>0</v>
      </c>
      <c r="N68" s="1214"/>
      <c r="P68" s="1213">
        <f>SUM(P58:Q67)</f>
        <v>0</v>
      </c>
      <c r="Q68" s="1214"/>
      <c r="S68" s="1213">
        <f>SUM(S58:T67)</f>
        <v>0</v>
      </c>
      <c r="T68" s="1214"/>
    </row>
    <row r="69" spans="1:21" ht="13.2"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1954</v>
      </c>
      <c r="G70" s="1120">
        <v>32108</v>
      </c>
      <c r="H70" s="1121"/>
      <c r="J70" s="1120">
        <v>32108</v>
      </c>
      <c r="K70" s="1121"/>
      <c r="L70" s="733"/>
      <c r="M70" s="1120"/>
      <c r="N70" s="1121"/>
      <c r="P70" s="1120"/>
      <c r="Q70" s="1121"/>
      <c r="S70" s="1120"/>
      <c r="T70" s="1121"/>
    </row>
    <row r="71" spans="1:21" s="458" customFormat="1" ht="13.2" customHeight="1">
      <c r="B71" s="458" t="s">
        <v>1955</v>
      </c>
      <c r="G71" s="1120">
        <v>477133</v>
      </c>
      <c r="H71" s="1121"/>
      <c r="J71" s="1120">
        <v>477133</v>
      </c>
      <c r="K71" s="1121"/>
      <c r="L71" s="733"/>
      <c r="M71" s="1120"/>
      <c r="N71" s="1121"/>
      <c r="P71" s="1120"/>
      <c r="Q71" s="1121"/>
      <c r="S71" s="1120"/>
      <c r="T71" s="1121"/>
    </row>
    <row r="72" spans="1:21" s="458" customFormat="1" ht="13.2" customHeight="1">
      <c r="B72" s="458" t="s">
        <v>1956</v>
      </c>
      <c r="D72" s="539" t="s">
        <v>2111</v>
      </c>
      <c r="E72" s="865"/>
      <c r="G72" s="1120">
        <v>19682</v>
      </c>
      <c r="H72" s="1121"/>
      <c r="I72" s="482"/>
      <c r="J72" s="1120">
        <v>19682</v>
      </c>
      <c r="K72" s="1121"/>
      <c r="L72" s="733"/>
      <c r="M72" s="1120"/>
      <c r="N72" s="1121"/>
      <c r="P72" s="1120"/>
      <c r="Q72" s="1121"/>
      <c r="S72" s="1120"/>
      <c r="T72" s="1121"/>
    </row>
    <row r="73" spans="1:21" s="458" customFormat="1" ht="13.2" customHeight="1" thickBot="1">
      <c r="B73" s="458" t="s">
        <v>1957</v>
      </c>
      <c r="D73" s="539" t="s">
        <v>2111</v>
      </c>
      <c r="E73" s="865"/>
      <c r="G73" s="1120">
        <v>160270</v>
      </c>
      <c r="H73" s="1121"/>
      <c r="I73" s="482"/>
      <c r="J73" s="1120">
        <v>160270</v>
      </c>
      <c r="K73" s="1121"/>
      <c r="L73" s="733"/>
      <c r="M73" s="1120"/>
      <c r="N73" s="1121"/>
      <c r="P73" s="1120"/>
      <c r="Q73" s="1121"/>
      <c r="S73" s="1120"/>
      <c r="T73" s="1121"/>
    </row>
    <row r="74" spans="1:21" s="458" customFormat="1" ht="13.2" customHeight="1" thickTop="1">
      <c r="F74" s="523" t="s">
        <v>249</v>
      </c>
      <c r="G74" s="1213">
        <f>SUM(G70:H73)</f>
        <v>689193</v>
      </c>
      <c r="H74" s="1214"/>
      <c r="J74" s="1213">
        <f>SUM(J70:K73)</f>
        <v>689193</v>
      </c>
      <c r="K74" s="1214"/>
      <c r="L74" s="525"/>
      <c r="M74" s="1213">
        <f>SUM(M70:N73)</f>
        <v>0</v>
      </c>
      <c r="N74" s="1214"/>
      <c r="P74" s="1213">
        <f>SUM(P70:Q73)</f>
        <v>0</v>
      </c>
      <c r="Q74" s="1214"/>
      <c r="S74" s="1213">
        <f>SUM(S70:T73)</f>
        <v>0</v>
      </c>
      <c r="T74" s="1214"/>
    </row>
    <row r="75" spans="1:21" s="458" customFormat="1" ht="13.2" customHeight="1">
      <c r="B75" s="461" t="s">
        <v>1093</v>
      </c>
      <c r="J75" s="525"/>
      <c r="K75" s="525"/>
      <c r="M75" s="525"/>
      <c r="N75" s="525"/>
      <c r="O75" s="524" t="str">
        <f>B75</f>
        <v>PERMANENT FINANCING FEES</v>
      </c>
      <c r="P75" s="525"/>
      <c r="Q75" s="525"/>
      <c r="S75" s="525"/>
      <c r="T75" s="525"/>
    </row>
    <row r="76" spans="1:21" s="458" customFormat="1" ht="13.2" customHeight="1">
      <c r="B76" s="458" t="s">
        <v>1958</v>
      </c>
      <c r="G76" s="1120"/>
      <c r="H76" s="1121"/>
      <c r="J76" s="1275"/>
      <c r="K76" s="1275"/>
      <c r="L76" s="733"/>
      <c r="M76" s="1275"/>
      <c r="N76" s="1275"/>
      <c r="P76" s="1275"/>
      <c r="Q76" s="1275"/>
      <c r="S76" s="1120"/>
      <c r="T76" s="1121"/>
    </row>
    <row r="77" spans="1:21" s="458" customFormat="1" ht="13.2" customHeight="1">
      <c r="B77" s="458" t="s">
        <v>1959</v>
      </c>
      <c r="G77" s="1120"/>
      <c r="H77" s="1121"/>
      <c r="J77" s="1223"/>
      <c r="K77" s="1223"/>
      <c r="L77" s="733"/>
      <c r="M77" s="1223"/>
      <c r="N77" s="1223"/>
      <c r="P77" s="1223"/>
      <c r="Q77" s="1223"/>
      <c r="S77" s="1120"/>
      <c r="T77" s="1121"/>
    </row>
    <row r="78" spans="1:21" s="458" customFormat="1" ht="13.2" customHeight="1">
      <c r="B78" s="458" t="s">
        <v>1960</v>
      </c>
      <c r="G78" s="1120">
        <v>27000</v>
      </c>
      <c r="H78" s="1121"/>
      <c r="J78" s="1120">
        <v>27000</v>
      </c>
      <c r="K78" s="1121"/>
      <c r="L78" s="733"/>
      <c r="M78" s="1120"/>
      <c r="N78" s="1121"/>
      <c r="P78" s="1120"/>
      <c r="Q78" s="1121"/>
      <c r="S78" s="1120"/>
      <c r="T78" s="1121"/>
    </row>
    <row r="79" spans="1:21" s="458" customFormat="1" ht="13.2" customHeight="1">
      <c r="B79" s="458" t="s">
        <v>1961</v>
      </c>
      <c r="G79" s="1120">
        <v>7500</v>
      </c>
      <c r="H79" s="1121"/>
      <c r="J79" s="1120">
        <v>7500</v>
      </c>
      <c r="K79" s="1121"/>
      <c r="L79" s="733"/>
      <c r="M79" s="1120"/>
      <c r="N79" s="1121"/>
      <c r="P79" s="1120"/>
      <c r="Q79" s="1121"/>
      <c r="S79" s="1120"/>
      <c r="T79" s="1121"/>
    </row>
    <row r="80" spans="1:21" s="458" customFormat="1" ht="13.2" customHeight="1">
      <c r="B80" s="458" t="s">
        <v>1962</v>
      </c>
      <c r="G80" s="1120"/>
      <c r="H80" s="1121"/>
      <c r="J80" s="1120"/>
      <c r="K80" s="1121"/>
      <c r="L80" s="733"/>
      <c r="M80" s="1120"/>
      <c r="N80" s="1121"/>
      <c r="P80" s="1120"/>
      <c r="Q80" s="1121"/>
      <c r="S80" s="1120"/>
      <c r="T80" s="1121"/>
    </row>
    <row r="81" spans="1:21" s="458" customFormat="1" ht="13.2" customHeight="1">
      <c r="B81" s="458" t="s">
        <v>3439</v>
      </c>
      <c r="G81" s="1120"/>
      <c r="H81" s="1121"/>
      <c r="J81" s="1120"/>
      <c r="K81" s="1121"/>
      <c r="L81" s="733"/>
      <c r="M81" s="1120"/>
      <c r="N81" s="1121"/>
      <c r="P81" s="1120"/>
      <c r="Q81" s="1121"/>
      <c r="S81" s="1120"/>
      <c r="T81" s="1121"/>
    </row>
    <row r="82" spans="1:21" s="458" customFormat="1" ht="13.2" customHeight="1" thickBot="1">
      <c r="A82" s="562" t="str">
        <f>IF(AND(G82&gt;0,OR(C82="",C82="&lt;Enter detailed description here; use Comments section if needed&gt;")),"X","")</f>
        <v/>
      </c>
      <c r="B82" s="458" t="s">
        <v>1230</v>
      </c>
      <c r="C82" s="1036" t="s">
        <v>3660</v>
      </c>
      <c r="D82" s="1036"/>
      <c r="E82" s="1036"/>
      <c r="F82" s="1037"/>
      <c r="G82" s="1120"/>
      <c r="H82" s="1121"/>
      <c r="J82" s="1120"/>
      <c r="K82" s="1121"/>
      <c r="L82" s="733"/>
      <c r="M82" s="1120"/>
      <c r="N82" s="1121"/>
      <c r="P82" s="1120"/>
      <c r="Q82" s="1121"/>
      <c r="S82" s="1120"/>
      <c r="T82" s="1121"/>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249</v>
      </c>
      <c r="G83" s="1213">
        <f>SUM(G76:H82)</f>
        <v>34500</v>
      </c>
      <c r="H83" s="1214"/>
      <c r="J83" s="1213">
        <f>SUM(J78:K82)</f>
        <v>34500</v>
      </c>
      <c r="K83" s="1214"/>
      <c r="L83" s="525"/>
      <c r="M83" s="1213">
        <f>SUM(M78:N82)</f>
        <v>0</v>
      </c>
      <c r="N83" s="1214"/>
      <c r="P83" s="1213">
        <f>SUM(P78:Q82)</f>
        <v>0</v>
      </c>
      <c r="Q83" s="1214"/>
      <c r="S83" s="1213">
        <f>SUM(S76:T82)</f>
        <v>0</v>
      </c>
      <c r="T83" s="1214"/>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1"/>
      <c r="I86" s="721"/>
      <c r="J86" s="1209" t="s">
        <v>359</v>
      </c>
      <c r="K86" s="1210"/>
      <c r="L86" s="522"/>
      <c r="M86" s="1286" t="s">
        <v>720</v>
      </c>
      <c r="N86" s="1287"/>
      <c r="P86" s="1209" t="s">
        <v>360</v>
      </c>
      <c r="Q86" s="1210"/>
      <c r="S86" s="1209" t="s">
        <v>361</v>
      </c>
      <c r="T86" s="1210"/>
    </row>
    <row r="87" spans="1:21" s="458" customFormat="1" ht="18" customHeight="1" thickBot="1">
      <c r="G87" s="1293" t="s">
        <v>115</v>
      </c>
      <c r="H87" s="1294"/>
      <c r="J87" s="1211"/>
      <c r="K87" s="1212"/>
      <c r="L87" s="522"/>
      <c r="M87" s="1288"/>
      <c r="N87" s="1289"/>
      <c r="P87" s="1211"/>
      <c r="Q87" s="1212"/>
      <c r="S87" s="1211"/>
      <c r="T87" s="1212"/>
    </row>
    <row r="88" spans="1:21" s="458" customFormat="1" ht="13.2" customHeight="1">
      <c r="B88" s="461" t="s">
        <v>1094</v>
      </c>
      <c r="J88" s="525"/>
      <c r="K88" s="525"/>
      <c r="M88" s="525"/>
      <c r="N88" s="525"/>
      <c r="O88" s="524" t="str">
        <f>B88</f>
        <v>DCA-RELATED COSTS</v>
      </c>
      <c r="P88" s="525"/>
      <c r="Q88" s="525"/>
      <c r="S88" s="525"/>
      <c r="T88" s="525"/>
    </row>
    <row r="89" spans="1:21" s="458" customFormat="1" ht="12.6" customHeight="1">
      <c r="B89" s="458" t="s">
        <v>2288</v>
      </c>
      <c r="G89" s="1120"/>
      <c r="H89" s="1121"/>
      <c r="J89" s="525"/>
      <c r="K89" s="525"/>
      <c r="L89" s="733"/>
      <c r="M89" s="525"/>
      <c r="N89" s="525"/>
      <c r="P89" s="525"/>
      <c r="Q89" s="525"/>
      <c r="S89" s="1120"/>
      <c r="T89" s="1121"/>
    </row>
    <row r="90" spans="1:21" s="458" customFormat="1" ht="12.6" customHeight="1">
      <c r="B90" s="458" t="s">
        <v>1858</v>
      </c>
      <c r="G90" s="1120">
        <v>4000</v>
      </c>
      <c r="H90" s="1121"/>
      <c r="J90" s="525"/>
      <c r="K90" s="525"/>
      <c r="L90" s="540"/>
      <c r="M90" s="525"/>
      <c r="N90" s="525"/>
      <c r="P90" s="525"/>
      <c r="Q90" s="525"/>
      <c r="S90" s="1120">
        <v>4000</v>
      </c>
      <c r="T90" s="1121"/>
    </row>
    <row r="91" spans="1:21" s="458" customFormat="1" ht="12.6" customHeight="1">
      <c r="B91" s="458" t="s">
        <v>2747</v>
      </c>
      <c r="G91" s="1120"/>
      <c r="H91" s="1121"/>
      <c r="J91" s="525"/>
      <c r="K91" s="525"/>
      <c r="L91" s="540"/>
      <c r="M91" s="525"/>
      <c r="N91" s="525"/>
      <c r="O91" s="721"/>
      <c r="P91" s="525"/>
      <c r="Q91" s="525"/>
      <c r="S91" s="1120"/>
      <c r="T91" s="1121"/>
    </row>
    <row r="92" spans="1:21" s="458" customFormat="1" ht="12.6" customHeight="1">
      <c r="B92" s="458" t="s">
        <v>811</v>
      </c>
      <c r="E92" s="1298">
        <f>'DCA Underwriting Assumptions'!$Q$41*$J$165</f>
        <v>66500</v>
      </c>
      <c r="F92" s="1299"/>
      <c r="G92" s="1120">
        <v>66500</v>
      </c>
      <c r="H92" s="1121"/>
      <c r="J92" s="525"/>
      <c r="K92" s="525"/>
      <c r="L92" s="733"/>
      <c r="M92" s="525"/>
      <c r="N92" s="525"/>
      <c r="O92" s="721"/>
      <c r="P92" s="525"/>
      <c r="Q92" s="525"/>
      <c r="S92" s="1120">
        <v>66500</v>
      </c>
      <c r="T92" s="1121"/>
    </row>
    <row r="93" spans="1:21" s="458" customFormat="1" ht="12.6" customHeight="1">
      <c r="B93" s="458" t="s">
        <v>1244</v>
      </c>
      <c r="E93" s="1298">
        <f>'Part VI-Revenues &amp; Expenses'!$M$63*'DCA Underwriting Assumptions'!$Q$44</f>
        <v>42000</v>
      </c>
      <c r="F93" s="1299"/>
      <c r="G93" s="1120">
        <v>42000</v>
      </c>
      <c r="H93" s="1121"/>
      <c r="J93" s="418"/>
      <c r="K93" s="418"/>
      <c r="L93" s="418"/>
      <c r="M93" s="418"/>
      <c r="N93" s="418"/>
      <c r="O93" s="418"/>
      <c r="P93" s="418"/>
      <c r="Q93" s="418"/>
      <c r="S93" s="1120">
        <v>42000</v>
      </c>
      <c r="T93" s="1121"/>
    </row>
    <row r="94" spans="1:21" s="458" customFormat="1" ht="12.6" customHeight="1">
      <c r="B94" s="458" t="s">
        <v>715</v>
      </c>
      <c r="G94" s="1120"/>
      <c r="H94" s="1121"/>
      <c r="J94" s="418"/>
      <c r="K94" s="418"/>
      <c r="L94" s="418"/>
      <c r="M94" s="418"/>
      <c r="N94" s="418"/>
      <c r="O94" s="418"/>
      <c r="P94" s="418"/>
      <c r="Q94" s="418"/>
      <c r="S94" s="1120"/>
      <c r="T94" s="1121"/>
    </row>
    <row r="95" spans="1:21" s="458" customFormat="1" ht="12.6" customHeight="1">
      <c r="B95" s="458" t="s">
        <v>3553</v>
      </c>
      <c r="G95" s="1120">
        <v>3000</v>
      </c>
      <c r="H95" s="1121"/>
      <c r="J95" s="418"/>
      <c r="K95" s="418"/>
      <c r="L95" s="418"/>
      <c r="M95" s="418"/>
      <c r="N95" s="418"/>
      <c r="O95" s="418"/>
      <c r="P95" s="418"/>
      <c r="Q95" s="418"/>
      <c r="S95" s="1120">
        <v>3000</v>
      </c>
      <c r="T95" s="1121"/>
    </row>
    <row r="96" spans="1:21" s="458" customFormat="1" ht="12.6" customHeight="1">
      <c r="A96" s="562" t="str">
        <f>IF(AND(G96&gt;0,OR(C96="",C96="&lt;Enter detailed description here; use Comments section if needed&gt;")),"X","")</f>
        <v/>
      </c>
      <c r="B96" s="458" t="s">
        <v>1230</v>
      </c>
      <c r="C96" s="1036" t="s">
        <v>3660</v>
      </c>
      <c r="D96" s="1036"/>
      <c r="E96" s="1036"/>
      <c r="F96" s="1037"/>
      <c r="G96" s="1120"/>
      <c r="H96" s="1121"/>
      <c r="J96" s="418"/>
      <c r="K96" s="418"/>
      <c r="L96" s="418"/>
      <c r="M96" s="418"/>
      <c r="N96" s="418"/>
      <c r="O96" s="418"/>
      <c r="P96" s="418"/>
      <c r="Q96" s="418"/>
      <c r="S96" s="1120"/>
      <c r="T96" s="112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036" t="s">
        <v>3660</v>
      </c>
      <c r="D97" s="1036"/>
      <c r="E97" s="1036"/>
      <c r="F97" s="1037"/>
      <c r="G97" s="1120"/>
      <c r="H97" s="1121"/>
      <c r="J97" s="418"/>
      <c r="K97" s="418"/>
      <c r="L97" s="418"/>
      <c r="M97" s="418"/>
      <c r="N97" s="418"/>
      <c r="O97" s="418"/>
      <c r="P97" s="418"/>
      <c r="Q97" s="418"/>
      <c r="S97" s="1120"/>
      <c r="T97" s="112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1213">
        <f>SUM(G89:H97)</f>
        <v>115500</v>
      </c>
      <c r="H98" s="1214"/>
      <c r="J98" s="525"/>
      <c r="K98" s="525"/>
      <c r="L98" s="733"/>
      <c r="M98" s="525"/>
      <c r="N98" s="525"/>
      <c r="P98" s="525"/>
      <c r="Q98" s="525"/>
      <c r="S98" s="1213">
        <f>SUM(S89:T97)</f>
        <v>115500</v>
      </c>
      <c r="T98" s="1214"/>
    </row>
    <row r="99" spans="1:21" s="458" customFormat="1" ht="13.2" customHeight="1">
      <c r="B99" s="461" t="s">
        <v>3440</v>
      </c>
      <c r="J99" s="525"/>
      <c r="K99" s="525"/>
      <c r="M99" s="525"/>
      <c r="N99" s="525"/>
      <c r="O99" s="524" t="str">
        <f>B99</f>
        <v>EQUITY COSTS</v>
      </c>
      <c r="P99" s="525"/>
      <c r="Q99" s="525"/>
      <c r="S99" s="525"/>
      <c r="T99" s="525"/>
    </row>
    <row r="100" spans="1:21" s="458" customFormat="1" ht="12.6" customHeight="1">
      <c r="B100" s="458" t="s">
        <v>370</v>
      </c>
      <c r="G100" s="1120">
        <v>10000</v>
      </c>
      <c r="H100" s="1121"/>
      <c r="J100" s="1275"/>
      <c r="K100" s="1275"/>
      <c r="L100" s="733"/>
      <c r="M100" s="1275"/>
      <c r="N100" s="1275"/>
      <c r="O100" s="721"/>
      <c r="P100" s="1275"/>
      <c r="Q100" s="1275"/>
      <c r="S100" s="1120">
        <v>10000</v>
      </c>
      <c r="T100" s="1121"/>
    </row>
    <row r="101" spans="1:21" s="458" customFormat="1" ht="12.6" customHeight="1">
      <c r="B101" s="458" t="s">
        <v>372</v>
      </c>
      <c r="G101" s="1120">
        <v>5000</v>
      </c>
      <c r="H101" s="1121"/>
      <c r="J101" s="1275"/>
      <c r="K101" s="1275"/>
      <c r="L101" s="733"/>
      <c r="M101" s="1275"/>
      <c r="N101" s="1275"/>
      <c r="O101" s="721"/>
      <c r="P101" s="1275"/>
      <c r="Q101" s="1275"/>
      <c r="S101" s="1120">
        <v>5000</v>
      </c>
      <c r="T101" s="1121"/>
    </row>
    <row r="102" spans="1:21" s="458" customFormat="1" ht="12.6" customHeight="1">
      <c r="B102" s="458" t="s">
        <v>3615</v>
      </c>
      <c r="G102" s="1120"/>
      <c r="H102" s="1121"/>
      <c r="J102" s="1275"/>
      <c r="K102" s="1275"/>
      <c r="L102" s="733"/>
      <c r="M102" s="1275"/>
      <c r="N102" s="1275"/>
      <c r="O102" s="721"/>
      <c r="P102" s="1275"/>
      <c r="Q102" s="1275"/>
      <c r="S102" s="1120"/>
      <c r="T102" s="1121"/>
    </row>
    <row r="103" spans="1:21" s="458" customFormat="1" ht="12.6" customHeight="1" thickBot="1">
      <c r="A103" s="562" t="str">
        <f>IF(AND(G103&gt;0,OR(C103="",C103="&lt;Enter detailed description here; use Comments section if needed&gt;")),"X","")</f>
        <v/>
      </c>
      <c r="B103" s="458" t="s">
        <v>1230</v>
      </c>
      <c r="C103" s="1036" t="s">
        <v>3660</v>
      </c>
      <c r="D103" s="1036"/>
      <c r="E103" s="1036"/>
      <c r="F103" s="1037"/>
      <c r="G103" s="1120"/>
      <c r="H103" s="1121"/>
      <c r="J103" s="1275"/>
      <c r="K103" s="1275"/>
      <c r="L103" s="733"/>
      <c r="M103" s="1275"/>
      <c r="N103" s="1275"/>
      <c r="O103" s="721"/>
      <c r="P103" s="1275"/>
      <c r="Q103" s="1275"/>
      <c r="S103" s="1120"/>
      <c r="T103" s="112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1213">
        <f>SUM(G100:H103)</f>
        <v>15000</v>
      </c>
      <c r="H104" s="1214"/>
      <c r="J104" s="1275"/>
      <c r="K104" s="1275"/>
      <c r="L104" s="733"/>
      <c r="M104" s="1275"/>
      <c r="N104" s="1275"/>
      <c r="O104" s="721"/>
      <c r="P104" s="1275"/>
      <c r="Q104" s="1275"/>
      <c r="S104" s="1213">
        <f>SUM(S100:T103)</f>
        <v>15000</v>
      </c>
      <c r="T104" s="1214"/>
    </row>
    <row r="105" spans="1:21" s="458" customFormat="1" ht="13.2" customHeight="1">
      <c r="B105" s="461" t="s">
        <v>373</v>
      </c>
      <c r="J105" s="525"/>
      <c r="K105" s="522"/>
      <c r="M105" s="525"/>
      <c r="N105" s="522"/>
      <c r="O105" s="524" t="str">
        <f>B105</f>
        <v>DEVELOPER'S FEE</v>
      </c>
      <c r="P105" s="525"/>
      <c r="Q105" s="522"/>
      <c r="S105" s="525"/>
      <c r="T105" s="522"/>
    </row>
    <row r="106" spans="1:21" s="458" customFormat="1" ht="12.6" customHeight="1">
      <c r="B106" s="458" t="s">
        <v>2915</v>
      </c>
      <c r="F106" s="647">
        <f>G106/$G$109</f>
        <v>0.19999945760652607</v>
      </c>
      <c r="G106" s="1120">
        <v>221241</v>
      </c>
      <c r="H106" s="1121"/>
      <c r="J106" s="1120">
        <v>221241</v>
      </c>
      <c r="K106" s="1121"/>
      <c r="L106" s="524"/>
      <c r="M106" s="1120"/>
      <c r="N106" s="1121"/>
      <c r="P106" s="1120"/>
      <c r="Q106" s="1121"/>
      <c r="S106" s="1120"/>
      <c r="T106" s="1121"/>
    </row>
    <row r="107" spans="1:21" s="458" customFormat="1" ht="12.6" customHeight="1">
      <c r="B107" s="458" t="s">
        <v>2916</v>
      </c>
      <c r="F107" s="647">
        <f>G107/$G$109</f>
        <v>0</v>
      </c>
      <c r="G107" s="1120"/>
      <c r="H107" s="1121"/>
      <c r="J107" s="1120"/>
      <c r="K107" s="1121"/>
      <c r="L107" s="733"/>
      <c r="M107" s="1120"/>
      <c r="N107" s="1121"/>
      <c r="P107" s="1120"/>
      <c r="Q107" s="1121"/>
      <c r="S107" s="1120"/>
      <c r="T107" s="1121"/>
    </row>
    <row r="108" spans="1:21" s="458" customFormat="1" ht="12.6" customHeight="1" thickBot="1">
      <c r="B108" s="458" t="s">
        <v>2908</v>
      </c>
      <c r="F108" s="647">
        <f>G108/$G$109</f>
        <v>0.80000054239347396</v>
      </c>
      <c r="G108" s="1120">
        <v>884967</v>
      </c>
      <c r="H108" s="1121"/>
      <c r="J108" s="1120">
        <v>884967</v>
      </c>
      <c r="K108" s="1121"/>
      <c r="L108" s="733"/>
      <c r="M108" s="1120"/>
      <c r="N108" s="1121"/>
      <c r="P108" s="1120"/>
      <c r="Q108" s="1121"/>
      <c r="S108" s="1120"/>
      <c r="T108" s="1121"/>
    </row>
    <row r="109" spans="1:21" s="458" customFormat="1" ht="12.6" customHeight="1" thickTop="1">
      <c r="C109" s="561" t="str">
        <f>IF(G109&lt;='DCA Underwriting Assumptions'!$Q$46,"","Developer Fee exceeds DCA Program Maximum !!!")</f>
        <v/>
      </c>
      <c r="F109" s="523" t="s">
        <v>249</v>
      </c>
      <c r="G109" s="1213">
        <f>SUM(G106:H108)</f>
        <v>1106208</v>
      </c>
      <c r="H109" s="1214"/>
      <c r="J109" s="1213">
        <f>SUM(J106:K108)</f>
        <v>1106208</v>
      </c>
      <c r="K109" s="1214"/>
      <c r="L109" s="733"/>
      <c r="M109" s="1213">
        <f>SUM(M106:N108)</f>
        <v>0</v>
      </c>
      <c r="N109" s="1214"/>
      <c r="P109" s="1213">
        <f>SUM(P106:Q108)</f>
        <v>0</v>
      </c>
      <c r="Q109" s="1214"/>
      <c r="S109" s="1213">
        <f>SUM(S106:T108)</f>
        <v>0</v>
      </c>
      <c r="T109" s="1214"/>
    </row>
    <row r="110" spans="1:21" s="458" customFormat="1" ht="13.2"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120">
        <v>15000</v>
      </c>
      <c r="H111" s="1121"/>
      <c r="J111" s="541"/>
      <c r="K111" s="541"/>
      <c r="L111" s="541"/>
      <c r="M111" s="541"/>
      <c r="N111" s="541"/>
      <c r="P111" s="541"/>
      <c r="Q111" s="541"/>
      <c r="S111" s="1120">
        <v>15000</v>
      </c>
      <c r="T111" s="1121"/>
    </row>
    <row r="112" spans="1:21" s="458" customFormat="1" ht="12.6" customHeight="1">
      <c r="B112" s="458" t="s">
        <v>2287</v>
      </c>
      <c r="G112" s="1120">
        <v>60000</v>
      </c>
      <c r="H112" s="1121"/>
      <c r="J112" s="1275"/>
      <c r="K112" s="1275"/>
      <c r="L112" s="733"/>
      <c r="M112" s="1275"/>
      <c r="N112" s="1275"/>
      <c r="O112" s="721"/>
      <c r="P112" s="1275"/>
      <c r="Q112" s="1275"/>
      <c r="R112" s="721"/>
      <c r="S112" s="1120">
        <v>60000</v>
      </c>
      <c r="T112" s="1121"/>
    </row>
    <row r="113" spans="1:21" s="458" customFormat="1" ht="12.6" customHeight="1">
      <c r="B113" s="458" t="s">
        <v>1028</v>
      </c>
      <c r="F113" s="482"/>
      <c r="G113" s="1120">
        <v>120000</v>
      </c>
      <c r="H113" s="1121"/>
      <c r="J113" s="540"/>
      <c r="K113" s="540"/>
      <c r="L113" s="540"/>
      <c r="M113" s="540"/>
      <c r="N113" s="540"/>
      <c r="O113" s="721"/>
      <c r="P113" s="540"/>
      <c r="Q113" s="540"/>
      <c r="R113" s="721"/>
      <c r="S113" s="1120">
        <v>120000</v>
      </c>
      <c r="T113" s="1121"/>
    </row>
    <row r="114" spans="1:21" s="458" customFormat="1" ht="12.6" customHeight="1">
      <c r="B114" s="458" t="s">
        <v>1922</v>
      </c>
      <c r="G114" s="1120"/>
      <c r="H114" s="1121"/>
      <c r="J114" s="541"/>
      <c r="K114" s="541"/>
      <c r="L114" s="541"/>
      <c r="M114" s="541"/>
      <c r="N114" s="541"/>
      <c r="P114" s="541"/>
      <c r="Q114" s="541"/>
      <c r="S114" s="1120"/>
      <c r="T114" s="1121"/>
    </row>
    <row r="115" spans="1:21" s="458" customFormat="1" ht="12.6" customHeight="1">
      <c r="B115" s="458" t="s">
        <v>1923</v>
      </c>
      <c r="E115" s="458" t="s">
        <v>1471</v>
      </c>
      <c r="F115" s="647">
        <f>G115/'Part VI-Revenues &amp; Expenses'!$M$63</f>
        <v>666.66666666666663</v>
      </c>
      <c r="G115" s="1120">
        <v>40000</v>
      </c>
      <c r="H115" s="1121"/>
      <c r="J115" s="1120">
        <v>40000</v>
      </c>
      <c r="K115" s="1121"/>
      <c r="L115" s="733"/>
      <c r="M115" s="1120"/>
      <c r="N115" s="1121"/>
      <c r="P115" s="1120"/>
      <c r="Q115" s="1121"/>
      <c r="S115" s="1120"/>
      <c r="T115" s="1121"/>
    </row>
    <row r="116" spans="1:21" s="458" customFormat="1" ht="12.6" customHeight="1" thickBot="1">
      <c r="A116" s="562" t="str">
        <f>IF(AND(G116&gt;0,OR(C116="",C116="&lt;Enter detailed description here; use Comments section if needed&gt;")),"X","")</f>
        <v/>
      </c>
      <c r="B116" s="458" t="s">
        <v>1230</v>
      </c>
      <c r="C116" s="1036" t="s">
        <v>3660</v>
      </c>
      <c r="D116" s="1036"/>
      <c r="E116" s="1036"/>
      <c r="F116" s="1037"/>
      <c r="G116" s="1120"/>
      <c r="H116" s="1121"/>
      <c r="J116" s="1120"/>
      <c r="K116" s="1121"/>
      <c r="L116" s="733"/>
      <c r="M116" s="1120"/>
      <c r="N116" s="1121"/>
      <c r="P116" s="1120"/>
      <c r="Q116" s="1121"/>
      <c r="S116" s="1120"/>
      <c r="T116" s="112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1213">
        <f>SUM(G111:H116)</f>
        <v>235000</v>
      </c>
      <c r="H117" s="1214"/>
      <c r="J117" s="1213">
        <f>SUM(J115:K116)</f>
        <v>40000</v>
      </c>
      <c r="K117" s="1214"/>
      <c r="L117" s="733"/>
      <c r="M117" s="1213">
        <f>SUM(M115:N116)</f>
        <v>0</v>
      </c>
      <c r="N117" s="1214"/>
      <c r="P117" s="1213">
        <f>SUM(P115:Q116)</f>
        <v>0</v>
      </c>
      <c r="Q117" s="1214"/>
      <c r="S117" s="1213">
        <f>SUM(S111:T116)</f>
        <v>195000</v>
      </c>
      <c r="T117" s="1214"/>
    </row>
    <row r="118" spans="1:21" s="458" customFormat="1" ht="13.2" customHeight="1">
      <c r="B118" s="461" t="s">
        <v>943</v>
      </c>
      <c r="C118" s="714"/>
      <c r="H118" s="538"/>
      <c r="I118" s="538"/>
      <c r="J118" s="522"/>
      <c r="K118" s="522"/>
      <c r="M118" s="522"/>
      <c r="N118" s="522"/>
      <c r="O118" s="524" t="str">
        <f>B118</f>
        <v>OTHER COSTS</v>
      </c>
      <c r="P118" s="522"/>
      <c r="Q118" s="522"/>
      <c r="S118" s="522"/>
      <c r="T118" s="522"/>
    </row>
    <row r="119" spans="1:21" s="458" customFormat="1" ht="12.6" customHeight="1">
      <c r="B119" s="458" t="s">
        <v>944</v>
      </c>
      <c r="C119" s="714"/>
      <c r="G119" s="1120"/>
      <c r="H119" s="1121"/>
      <c r="J119" s="1120"/>
      <c r="K119" s="1121"/>
      <c r="L119" s="524"/>
      <c r="M119" s="1120"/>
      <c r="N119" s="1121"/>
      <c r="P119" s="1120"/>
      <c r="Q119" s="1121"/>
      <c r="S119" s="1120"/>
      <c r="T119" s="1121"/>
    </row>
    <row r="120" spans="1:21" s="458" customFormat="1" ht="12.6" customHeight="1" thickBot="1">
      <c r="A120" s="562" t="str">
        <f>IF(AND(G120&gt;0,OR(C120="",C120="&lt;Enter detailed description here; use Comments section if needed&gt;")),"X","")</f>
        <v/>
      </c>
      <c r="B120" s="458" t="s">
        <v>1230</v>
      </c>
      <c r="C120" s="1036" t="s">
        <v>3660</v>
      </c>
      <c r="D120" s="1036"/>
      <c r="E120" s="1036"/>
      <c r="F120" s="1037"/>
      <c r="G120" s="1120"/>
      <c r="H120" s="1121"/>
      <c r="J120" s="1120"/>
      <c r="K120" s="1121"/>
      <c r="L120" s="733"/>
      <c r="M120" s="1120"/>
      <c r="N120" s="1121"/>
      <c r="P120" s="1120"/>
      <c r="Q120" s="1121"/>
      <c r="S120" s="1120"/>
      <c r="T120" s="112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1213">
        <f>SUM(G119:H120)</f>
        <v>0</v>
      </c>
      <c r="H121" s="1214"/>
      <c r="J121" s="1213">
        <f>SUM(J119:K120)</f>
        <v>0</v>
      </c>
      <c r="K121" s="1214"/>
      <c r="L121" s="733"/>
      <c r="M121" s="1213">
        <f>SUM(M119:N120)</f>
        <v>0</v>
      </c>
      <c r="N121" s="1214"/>
      <c r="P121" s="1213">
        <f>SUM(P119:Q120)</f>
        <v>0</v>
      </c>
      <c r="Q121" s="1214"/>
      <c r="S121" s="1213">
        <f>SUM(S119:T120)</f>
        <v>0</v>
      </c>
      <c r="T121" s="1214"/>
    </row>
    <row r="122" spans="1:21" s="458" customFormat="1" ht="3" customHeight="1" thickBot="1">
      <c r="C122" s="714"/>
      <c r="H122" s="538"/>
      <c r="I122" s="538"/>
      <c r="L122" s="721"/>
    </row>
    <row r="123" spans="1:21" s="458" customFormat="1" ht="13.95" customHeight="1" thickBot="1">
      <c r="B123" s="465" t="s">
        <v>374</v>
      </c>
      <c r="G123" s="1269">
        <f>G17+G23+G27+G32+G36+G42+G56+G68+G74+G83+G98+G104+G109+G117+G121</f>
        <v>9217744</v>
      </c>
      <c r="H123" s="1270"/>
      <c r="J123" s="1269">
        <f>J17+J23+J27+J32+J36+J42+J56+J68+J74+J83+J98+J104+J109+J117+J121</f>
        <v>8442077</v>
      </c>
      <c r="K123" s="1270"/>
      <c r="M123" s="1269">
        <f>M17+M23+M27+M32+M36+M42+M56+M68+M74+M83+M98+M104+M109+M117+M121</f>
        <v>0</v>
      </c>
      <c r="N123" s="1270"/>
      <c r="P123" s="1269">
        <f>P17+P23+P27+P32+P36+P42+P56+P68+P74+P83+P98+P104+P109+P117+P121</f>
        <v>0</v>
      </c>
      <c r="Q123" s="1270"/>
      <c r="S123" s="1269">
        <f>S17+S23+S27+S32+S36+S42+S56+S68+S74+S83+S98+S104+S109+S117+S121</f>
        <v>775667</v>
      </c>
      <c r="T123" s="1270"/>
    </row>
    <row r="124" spans="1:21" s="458" customFormat="1" ht="3" customHeight="1" thickBot="1">
      <c r="C124" s="714"/>
      <c r="H124" s="538"/>
      <c r="I124" s="538"/>
      <c r="L124" s="721"/>
    </row>
    <row r="125" spans="1:21" s="458" customFormat="1" ht="13.95" customHeight="1" thickBot="1">
      <c r="B125" s="465" t="s">
        <v>3896</v>
      </c>
      <c r="D125" s="1226">
        <f>IF(AND($T$155 = "Yes", 'Part IX A-Scoring Criteria'!$O$176 &gt; 0),'DCA Underwriting Assumptions'!$R$13, IF(AND('Part IV-Uses of Funds'!$T$156="Yes", 'Part IX A-Scoring Criteria'!$O$74&gt;0),'DCA Underwriting Assumptions'!$R$12, 'DCA Underwriting Assumptions'!$R$11))</f>
        <v>9240180</v>
      </c>
      <c r="E125" s="1227"/>
      <c r="F125" s="461" t="s">
        <v>1038</v>
      </c>
      <c r="G125" s="1271">
        <f>G123/'Part VI-Revenues &amp; Expenses'!$M$63</f>
        <v>153629.06666666668</v>
      </c>
      <c r="H125" s="1272"/>
      <c r="I125" s="543"/>
      <c r="J125" s="465" t="s">
        <v>1039</v>
      </c>
      <c r="M125" s="1271">
        <f>G123/'Part VI-Revenues &amp; Expenses'!$M$98</f>
        <v>128.02422222222222</v>
      </c>
      <c r="N125" s="1272"/>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5" customHeight="1">
      <c r="A128" s="406" t="s">
        <v>1229</v>
      </c>
      <c r="B128" s="408" t="s">
        <v>2145</v>
      </c>
      <c r="C128" s="459"/>
      <c r="D128" s="733"/>
      <c r="E128" s="733"/>
      <c r="G128" s="721"/>
      <c r="H128" s="721"/>
      <c r="I128" s="545"/>
      <c r="J128" s="1209" t="s">
        <v>359</v>
      </c>
      <c r="K128" s="1210"/>
      <c r="M128" s="1209" t="s">
        <v>114</v>
      </c>
      <c r="N128" s="1210"/>
      <c r="P128" s="1209" t="s">
        <v>360</v>
      </c>
      <c r="Q128" s="1210"/>
    </row>
    <row r="129" spans="2:17" s="458" customFormat="1" ht="15" customHeight="1" thickBot="1">
      <c r="B129" s="465" t="s">
        <v>3136</v>
      </c>
      <c r="D129" s="733"/>
      <c r="E129" s="733"/>
      <c r="I129" s="545"/>
      <c r="J129" s="1211"/>
      <c r="K129" s="1212"/>
      <c r="L129" s="459"/>
      <c r="M129" s="1211"/>
      <c r="N129" s="1212"/>
      <c r="P129" s="1211"/>
      <c r="Q129" s="1212"/>
    </row>
    <row r="130" spans="2:17" s="458" customFormat="1" ht="6" customHeight="1">
      <c r="D130" s="714"/>
      <c r="E130" s="714"/>
      <c r="I130" s="538"/>
      <c r="J130" s="538"/>
      <c r="K130" s="544"/>
      <c r="L130" s="464"/>
      <c r="P130" s="721"/>
    </row>
    <row r="131" spans="2:17" s="458" customFormat="1" ht="13.95" customHeight="1">
      <c r="B131" s="714" t="s">
        <v>185</v>
      </c>
      <c r="D131" s="721"/>
      <c r="E131" s="721"/>
      <c r="F131" s="721"/>
      <c r="G131" s="721"/>
      <c r="H131" s="721"/>
      <c r="I131" s="545"/>
      <c r="J131" s="1224"/>
      <c r="K131" s="1225"/>
      <c r="P131" s="1224"/>
      <c r="Q131" s="1225"/>
    </row>
    <row r="132" spans="2:17" s="458" customFormat="1" ht="13.95" customHeight="1">
      <c r="B132" s="721" t="s">
        <v>3256</v>
      </c>
      <c r="D132" s="721"/>
      <c r="E132" s="721"/>
      <c r="F132" s="721"/>
      <c r="G132" s="721"/>
      <c r="H132" s="721"/>
      <c r="I132" s="545"/>
      <c r="J132" s="1224"/>
      <c r="K132" s="1225"/>
      <c r="P132" s="1224"/>
      <c r="Q132" s="1225"/>
    </row>
    <row r="133" spans="2:17" s="458" customFormat="1" ht="13.95" customHeight="1">
      <c r="B133" s="721" t="s">
        <v>2918</v>
      </c>
      <c r="D133" s="721"/>
      <c r="E133" s="721"/>
      <c r="I133" s="545"/>
      <c r="J133" s="1224"/>
      <c r="K133" s="1225"/>
      <c r="P133" s="1224"/>
      <c r="Q133" s="1225"/>
    </row>
    <row r="134" spans="2:17" s="458" customFormat="1" ht="13.95" customHeight="1">
      <c r="B134" s="721" t="s">
        <v>2919</v>
      </c>
      <c r="D134" s="721"/>
      <c r="E134" s="721"/>
      <c r="I134" s="545"/>
      <c r="J134" s="1224"/>
      <c r="K134" s="1225"/>
      <c r="P134" s="1224"/>
      <c r="Q134" s="1225"/>
    </row>
    <row r="135" spans="2:17" s="458" customFormat="1" ht="13.95" customHeight="1">
      <c r="B135" s="721" t="s">
        <v>329</v>
      </c>
      <c r="D135" s="721"/>
      <c r="E135" s="721"/>
      <c r="I135" s="545"/>
      <c r="J135" s="1224"/>
      <c r="K135" s="1225"/>
      <c r="P135" s="1224"/>
      <c r="Q135" s="1225"/>
    </row>
    <row r="136" spans="2:17" s="458" customFormat="1" ht="13.95" customHeight="1" thickBot="1">
      <c r="B136" s="721" t="s">
        <v>2363</v>
      </c>
      <c r="C136" s="1036" t="s">
        <v>3660</v>
      </c>
      <c r="D136" s="1036"/>
      <c r="E136" s="1036"/>
      <c r="F136" s="1036"/>
      <c r="G136" s="1036"/>
      <c r="H136" s="1036"/>
      <c r="I136" s="1037"/>
      <c r="J136" s="1224"/>
      <c r="K136" s="1225"/>
      <c r="P136" s="1224"/>
      <c r="Q136" s="1225"/>
    </row>
    <row r="137" spans="2:17" s="458" customFormat="1" ht="13.95" customHeight="1" thickBot="1">
      <c r="B137" s="470" t="s">
        <v>2920</v>
      </c>
      <c r="C137" s="473"/>
      <c r="J137" s="1163">
        <f>SUM(J131:K136)</f>
        <v>0</v>
      </c>
      <c r="K137" s="1164"/>
      <c r="P137" s="1163">
        <f>SUM(P131:Q136)</f>
        <v>0</v>
      </c>
      <c r="Q137" s="1164"/>
    </row>
    <row r="138" spans="2:17" s="458" customFormat="1" ht="3" customHeight="1"/>
    <row r="139" spans="2:17" s="458" customFormat="1" ht="15" customHeight="1" thickBot="1">
      <c r="B139" s="461" t="s">
        <v>3488</v>
      </c>
    </row>
    <row r="140" spans="2:17" s="458" customFormat="1" ht="13.95" customHeight="1">
      <c r="B140" s="458" t="s">
        <v>2821</v>
      </c>
      <c r="J140" s="1273">
        <f>J123</f>
        <v>8442077</v>
      </c>
      <c r="K140" s="1274"/>
      <c r="M140" s="1277">
        <f>M123</f>
        <v>0</v>
      </c>
      <c r="N140" s="1278"/>
      <c r="P140" s="1273">
        <f>P123</f>
        <v>0</v>
      </c>
      <c r="Q140" s="1274"/>
    </row>
    <row r="141" spans="2:17" s="458" customFormat="1" ht="13.95" customHeight="1">
      <c r="B141" s="458" t="s">
        <v>3344</v>
      </c>
      <c r="J141" s="1234">
        <f>J137</f>
        <v>0</v>
      </c>
      <c r="K141" s="1263"/>
      <c r="M141" s="1235"/>
      <c r="N141" s="1235"/>
      <c r="P141" s="1234">
        <f>P137</f>
        <v>0</v>
      </c>
      <c r="Q141" s="1263"/>
    </row>
    <row r="142" spans="2:17" s="458" customFormat="1" ht="13.95" customHeight="1">
      <c r="B142" s="458" t="s">
        <v>3345</v>
      </c>
      <c r="J142" s="1234">
        <f>J140-J141</f>
        <v>8442077</v>
      </c>
      <c r="K142" s="1263"/>
      <c r="M142" s="1234">
        <f>M140</f>
        <v>0</v>
      </c>
      <c r="N142" s="1263"/>
      <c r="P142" s="1234">
        <f>P140-P141</f>
        <v>0</v>
      </c>
      <c r="Q142" s="1263"/>
    </row>
    <row r="143" spans="2:17" s="458" customFormat="1" ht="13.95" customHeight="1">
      <c r="B143" s="458" t="s">
        <v>2228</v>
      </c>
      <c r="G143" s="713" t="s">
        <v>2734</v>
      </c>
      <c r="H143" s="1127" t="s">
        <v>4004</v>
      </c>
      <c r="I143" s="1128"/>
      <c r="J143" s="1236">
        <v>1.3</v>
      </c>
      <c r="K143" s="1237"/>
      <c r="M143" s="1276"/>
      <c r="N143" s="1276"/>
      <c r="P143" s="1236">
        <v>1.3</v>
      </c>
      <c r="Q143" s="1237"/>
    </row>
    <row r="144" spans="2:17" s="458" customFormat="1" ht="13.95" customHeight="1">
      <c r="B144" s="458" t="s">
        <v>3150</v>
      </c>
      <c r="J144" s="1234">
        <f>J142*J143</f>
        <v>10974700.1</v>
      </c>
      <c r="K144" s="1263"/>
      <c r="M144" s="1234">
        <f>+M142</f>
        <v>0</v>
      </c>
      <c r="N144" s="1263"/>
      <c r="P144" s="1234">
        <f>P142*P143</f>
        <v>0</v>
      </c>
      <c r="Q144" s="1263"/>
    </row>
    <row r="145" spans="1:20" s="458" customFormat="1" ht="13.95" customHeight="1">
      <c r="B145" s="458" t="s">
        <v>3840</v>
      </c>
      <c r="J145" s="1279">
        <f>MIN('Part VI-Revenues &amp; Expenses'!$M$59/'Part VI-Revenues &amp; Expenses'!$M$61,'Part VI-Revenues &amp; Expenses'!$M$94/'Part VI-Revenues &amp; Expenses'!$M$96)</f>
        <v>1</v>
      </c>
      <c r="K145" s="1280"/>
      <c r="M145" s="1279">
        <f>MIN('Part VI-Revenues &amp; Expenses'!$M$59/'Part VI-Revenues &amp; Expenses'!$M$61,'Part VI-Revenues &amp; Expenses'!$M$94/'Part VI-Revenues &amp; Expenses'!$M$96)</f>
        <v>1</v>
      </c>
      <c r="N145" s="1280"/>
      <c r="P145" s="1279">
        <f>MIN('Part VI-Revenues &amp; Expenses'!$M$59/'Part VI-Revenues &amp; Expenses'!$M$61,'Part VI-Revenues &amp; Expenses'!$M$94/'Part VI-Revenues &amp; Expenses'!$M$96)</f>
        <v>1</v>
      </c>
      <c r="Q145" s="1280"/>
    </row>
    <row r="146" spans="1:20" s="458" customFormat="1" ht="13.95" customHeight="1">
      <c r="B146" s="458" t="s">
        <v>3137</v>
      </c>
      <c r="J146" s="1234">
        <f>J144*J145</f>
        <v>10974700.1</v>
      </c>
      <c r="K146" s="1263"/>
      <c r="M146" s="1234">
        <f>M144*M145</f>
        <v>0</v>
      </c>
      <c r="N146" s="1263"/>
      <c r="P146" s="1234">
        <f>P144*P145</f>
        <v>0</v>
      </c>
      <c r="Q146" s="1263"/>
    </row>
    <row r="147" spans="1:20" s="458" customFormat="1" ht="13.95" customHeight="1">
      <c r="B147" s="458" t="s">
        <v>3138</v>
      </c>
      <c r="J147" s="1236">
        <v>0.09</v>
      </c>
      <c r="K147" s="1237"/>
      <c r="M147" s="1236"/>
      <c r="N147" s="1237"/>
      <c r="P147" s="1236"/>
      <c r="Q147" s="1237"/>
    </row>
    <row r="148" spans="1:20" s="458" customFormat="1" ht="13.95" customHeight="1" thickBot="1">
      <c r="B148" s="458" t="s">
        <v>3841</v>
      </c>
      <c r="J148" s="1238">
        <f>J146*J147</f>
        <v>987723.00899999996</v>
      </c>
      <c r="K148" s="1239"/>
      <c r="M148" s="1238">
        <f>M146*M147</f>
        <v>0</v>
      </c>
      <c r="N148" s="1239"/>
      <c r="P148" s="1238">
        <f>P146*P147</f>
        <v>0</v>
      </c>
      <c r="Q148" s="1239"/>
    </row>
    <row r="149" spans="1:20" s="458" customFormat="1" ht="13.95" customHeight="1" thickBot="1">
      <c r="B149" s="458" t="s">
        <v>2143</v>
      </c>
      <c r="J149" s="1163">
        <f>J148+M148+P148</f>
        <v>987723.00899999996</v>
      </c>
      <c r="K149" s="1264"/>
      <c r="L149" s="1264"/>
      <c r="M149" s="1264"/>
      <c r="N149" s="1264"/>
      <c r="O149" s="1264"/>
      <c r="P149" s="1264"/>
      <c r="Q149" s="1164"/>
    </row>
    <row r="150" spans="1:20" s="458" customFormat="1" ht="6" customHeight="1" thickBot="1">
      <c r="B150" s="546"/>
      <c r="L150" s="547"/>
      <c r="M150" s="547"/>
      <c r="N150" s="547"/>
      <c r="O150" s="547"/>
    </row>
    <row r="151" spans="1:20" s="458" customFormat="1" ht="15" customHeight="1">
      <c r="A151" s="461" t="s">
        <v>1231</v>
      </c>
      <c r="B151" s="461" t="s">
        <v>2146</v>
      </c>
      <c r="I151" s="721"/>
      <c r="J151" s="1257" t="s">
        <v>345</v>
      </c>
      <c r="K151" s="1257"/>
      <c r="L151" s="1257"/>
      <c r="M151" s="1228" t="str">
        <f>IF(J153&gt;D125,"TDC exceeds PUCL!","")</f>
        <v/>
      </c>
      <c r="N151" s="1229"/>
      <c r="O151" s="1229"/>
      <c r="P151" s="1229"/>
      <c r="Q151" s="1229"/>
      <c r="R151" s="1230"/>
      <c r="S151" s="1247" t="s">
        <v>2650</v>
      </c>
      <c r="T151" s="1248"/>
    </row>
    <row r="152" spans="1:20" s="458" customFormat="1" ht="15" customHeight="1">
      <c r="B152" s="461" t="s">
        <v>231</v>
      </c>
      <c r="I152" s="721"/>
      <c r="J152" s="1283">
        <f>MIN(G123,D125)</f>
        <v>9217744</v>
      </c>
      <c r="K152" s="1283"/>
      <c r="L152" s="1283"/>
      <c r="M152" s="1231" t="s">
        <v>3645</v>
      </c>
      <c r="N152" s="1232"/>
      <c r="O152" s="1232"/>
      <c r="P152" s="1232"/>
      <c r="Q152" s="1232"/>
      <c r="R152" s="1233"/>
      <c r="S152" s="1249"/>
      <c r="T152" s="1250"/>
    </row>
    <row r="153" spans="1:20" s="458" customFormat="1" ht="13.95" customHeight="1">
      <c r="B153" s="458" t="s">
        <v>2649</v>
      </c>
      <c r="J153" s="1281">
        <v>9217744</v>
      </c>
      <c r="K153" s="1282"/>
      <c r="L153" s="1282"/>
      <c r="M153" s="1231"/>
      <c r="N153" s="1232"/>
      <c r="O153" s="1232"/>
      <c r="P153" s="1232"/>
      <c r="Q153" s="1232"/>
      <c r="R153" s="1233"/>
      <c r="S153" s="1249"/>
      <c r="T153" s="1250"/>
    </row>
    <row r="154" spans="1:20" s="458" customFormat="1" ht="13.95" customHeight="1">
      <c r="B154" s="458" t="s">
        <v>341</v>
      </c>
      <c r="J154" s="1234">
        <f>'Part III A-Sources of Funds'!$H$49-'Part III A-Sources of Funds'!$H$37-'Part III A-Sources of Funds'!$H$40-'Part III A-Sources of Funds'!$H$41</f>
        <v>0</v>
      </c>
      <c r="K154" s="1235"/>
      <c r="L154" s="1235"/>
      <c r="M154" s="1231"/>
      <c r="N154" s="1232"/>
      <c r="O154" s="1232"/>
      <c r="P154" s="1232"/>
      <c r="Q154" s="1232"/>
      <c r="R154" s="1233"/>
      <c r="S154" s="685"/>
      <c r="T154" s="688" t="s">
        <v>344</v>
      </c>
    </row>
    <row r="155" spans="1:20" s="458" customFormat="1" ht="13.95" customHeight="1">
      <c r="B155" s="458" t="s">
        <v>3357</v>
      </c>
      <c r="J155" s="1234">
        <f>+J153-J154</f>
        <v>9217744</v>
      </c>
      <c r="K155" s="1235"/>
      <c r="L155" s="1235"/>
      <c r="M155" s="1256" t="s">
        <v>342</v>
      </c>
      <c r="N155" s="1257"/>
      <c r="O155" s="1257" t="s">
        <v>2652</v>
      </c>
      <c r="P155" s="1257"/>
      <c r="Q155" s="1257"/>
      <c r="R155" s="1262"/>
      <c r="S155" s="686" t="s">
        <v>2651</v>
      </c>
      <c r="T155" s="866"/>
    </row>
    <row r="156" spans="1:20" s="458" customFormat="1" ht="13.95" customHeight="1" thickBot="1">
      <c r="B156" s="458" t="s">
        <v>1986</v>
      </c>
      <c r="J156" s="1268" t="str">
        <f>"/ 10"</f>
        <v>/ 10</v>
      </c>
      <c r="K156" s="1268"/>
      <c r="L156" s="1268"/>
      <c r="M156" s="1258"/>
      <c r="N156" s="1259"/>
      <c r="O156" s="1260"/>
      <c r="P156" s="1260"/>
      <c r="Q156" s="1260"/>
      <c r="R156" s="1261"/>
      <c r="S156" s="687" t="s">
        <v>343</v>
      </c>
      <c r="T156" s="867"/>
    </row>
    <row r="157" spans="1:20" s="458" customFormat="1" ht="13.95" customHeight="1">
      <c r="B157" s="458" t="s">
        <v>1987</v>
      </c>
      <c r="J157" s="1234">
        <f>J155/10</f>
        <v>921774.4</v>
      </c>
      <c r="K157" s="1235"/>
      <c r="L157" s="1263"/>
      <c r="M157" s="482"/>
      <c r="N157" s="1030" t="s">
        <v>1988</v>
      </c>
      <c r="O157" s="1030"/>
      <c r="Q157" s="1030" t="s">
        <v>2830</v>
      </c>
      <c r="R157" s="1030"/>
    </row>
    <row r="158" spans="1:20" s="458" customFormat="1" ht="13.95" customHeight="1" thickBot="1">
      <c r="B158" s="458" t="s">
        <v>2227</v>
      </c>
      <c r="J158" s="1251">
        <f>N158+Q158</f>
        <v>0.95</v>
      </c>
      <c r="K158" s="1252"/>
      <c r="L158" s="1253"/>
      <c r="M158" s="713" t="s">
        <v>1989</v>
      </c>
      <c r="N158" s="1254">
        <v>0.7</v>
      </c>
      <c r="O158" s="1255"/>
      <c r="P158" s="713" t="s">
        <v>945</v>
      </c>
      <c r="Q158" s="1254">
        <v>0.25</v>
      </c>
      <c r="R158" s="1255"/>
    </row>
    <row r="159" spans="1:20" s="458" customFormat="1" ht="13.95" customHeight="1" thickBot="1">
      <c r="B159" s="458" t="s">
        <v>2144</v>
      </c>
      <c r="J159" s="1163">
        <f>IF(J158=0,"",J157/J158)</f>
        <v>970288.84210526326</v>
      </c>
      <c r="K159" s="1264"/>
      <c r="L159" s="1164"/>
      <c r="M159" s="482"/>
      <c r="N159" s="721"/>
      <c r="O159" s="721"/>
    </row>
    <row r="160" spans="1:20" s="458" customFormat="1" ht="9" customHeight="1">
      <c r="J160" s="548"/>
      <c r="K160" s="548"/>
      <c r="L160" s="548"/>
      <c r="M160" s="482"/>
      <c r="N160" s="719"/>
      <c r="O160" s="719"/>
    </row>
    <row r="161" spans="1:20" s="458" customFormat="1" ht="16.2" customHeight="1">
      <c r="B161" s="461" t="s">
        <v>447</v>
      </c>
      <c r="J161" s="1240">
        <f>+MIN(J149,J159,'DCA Underwriting Assumptions'!$R$6)</f>
        <v>950000</v>
      </c>
      <c r="K161" s="1241"/>
      <c r="L161" s="1242"/>
      <c r="M161" s="482"/>
      <c r="N161" s="719"/>
      <c r="O161" s="719"/>
    </row>
    <row r="162" spans="1:20" s="458" customFormat="1" ht="9.6" customHeight="1">
      <c r="J162" s="548"/>
      <c r="K162" s="548"/>
      <c r="L162" s="548"/>
      <c r="M162" s="482"/>
      <c r="N162" s="719"/>
      <c r="O162" s="719"/>
    </row>
    <row r="163" spans="1:20" s="458" customFormat="1" ht="16.2" customHeight="1">
      <c r="B163" s="461" t="s">
        <v>448</v>
      </c>
      <c r="J163" s="1265">
        <v>950000</v>
      </c>
      <c r="K163" s="1266"/>
      <c r="L163" s="1267"/>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2" customHeight="1">
      <c r="A165" s="461" t="s">
        <v>2823</v>
      </c>
      <c r="B165" s="461" t="s">
        <v>449</v>
      </c>
      <c r="D165" s="482"/>
      <c r="E165" s="482"/>
      <c r="F165" s="464"/>
      <c r="J165" s="1240">
        <f>+MIN(J161,J163)</f>
        <v>950000</v>
      </c>
      <c r="K165" s="1241"/>
      <c r="L165" s="1242"/>
      <c r="N165" s="868"/>
      <c r="O165" s="868"/>
      <c r="P165" s="868"/>
      <c r="Q165" s="868"/>
      <c r="R165" s="868"/>
      <c r="S165" s="868"/>
      <c r="T165" s="868"/>
    </row>
    <row r="166" spans="1:20" ht="3" customHeight="1"/>
    <row r="167" spans="1:20" ht="6" customHeight="1"/>
    <row r="168" spans="1:20" ht="12" customHeight="1">
      <c r="A168" s="461" t="s">
        <v>2825</v>
      </c>
      <c r="B168" s="491" t="s">
        <v>879</v>
      </c>
      <c r="K168" s="461" t="s">
        <v>822</v>
      </c>
      <c r="L168" s="461" t="s">
        <v>89</v>
      </c>
    </row>
    <row r="169" spans="1:20" ht="107.4" customHeight="1">
      <c r="A169" s="1243" t="s">
        <v>4009</v>
      </c>
      <c r="B169" s="1244"/>
      <c r="C169" s="1244"/>
      <c r="D169" s="1244"/>
      <c r="E169" s="1244"/>
      <c r="F169" s="1244"/>
      <c r="G169" s="1244"/>
      <c r="H169" s="1244"/>
      <c r="I169" s="1244"/>
      <c r="J169" s="1245"/>
      <c r="K169" s="1246"/>
      <c r="L169" s="1244"/>
      <c r="M169" s="1244"/>
      <c r="N169" s="1244"/>
      <c r="O169" s="1244"/>
      <c r="P169" s="1244"/>
      <c r="Q169" s="1244"/>
      <c r="R169" s="1244"/>
      <c r="S169" s="1244"/>
      <c r="T169" s="1245"/>
    </row>
    <row r="170" spans="1:20" ht="107.4" customHeight="1">
      <c r="A170" s="1219" t="s">
        <v>4017</v>
      </c>
      <c r="B170" s="1220"/>
      <c r="C170" s="1220"/>
      <c r="D170" s="1220"/>
      <c r="E170" s="1220"/>
      <c r="F170" s="1220"/>
      <c r="G170" s="1220"/>
      <c r="H170" s="1220"/>
      <c r="I170" s="1220"/>
      <c r="J170" s="1221"/>
      <c r="K170" s="1222"/>
      <c r="L170" s="1220"/>
      <c r="M170" s="1220"/>
      <c r="N170" s="1220"/>
      <c r="O170" s="1220"/>
      <c r="P170" s="1220"/>
      <c r="Q170" s="1220"/>
      <c r="R170" s="1220"/>
      <c r="S170" s="1220"/>
      <c r="T170" s="1221"/>
    </row>
    <row r="171" spans="1:20" s="458" customFormat="1" ht="107.4" customHeight="1">
      <c r="A171" s="1219" t="s">
        <v>4030</v>
      </c>
      <c r="B171" s="1220"/>
      <c r="C171" s="1220"/>
      <c r="D171" s="1220"/>
      <c r="E171" s="1220"/>
      <c r="F171" s="1220"/>
      <c r="G171" s="1220"/>
      <c r="H171" s="1220"/>
      <c r="I171" s="1220"/>
      <c r="J171" s="1221"/>
      <c r="K171" s="1222"/>
      <c r="L171" s="1220"/>
      <c r="M171" s="1220"/>
      <c r="N171" s="1220"/>
      <c r="O171" s="1220"/>
      <c r="P171" s="1220"/>
      <c r="Q171" s="1220"/>
      <c r="R171" s="1220"/>
      <c r="S171" s="1220"/>
      <c r="T171" s="1221"/>
    </row>
    <row r="172" spans="1:20" ht="107.4" customHeight="1">
      <c r="A172" s="1215"/>
      <c r="B172" s="1216"/>
      <c r="C172" s="1216"/>
      <c r="D172" s="1216"/>
      <c r="E172" s="1216"/>
      <c r="F172" s="1216"/>
      <c r="G172" s="1216"/>
      <c r="H172" s="1216"/>
      <c r="I172" s="1216"/>
      <c r="J172" s="1217"/>
      <c r="K172" s="1218"/>
      <c r="L172" s="1216"/>
      <c r="M172" s="1216"/>
      <c r="N172" s="1216"/>
      <c r="O172" s="1216"/>
      <c r="P172" s="1216"/>
      <c r="Q172" s="1216"/>
      <c r="R172" s="1216"/>
      <c r="S172" s="1216"/>
      <c r="T172" s="1217"/>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5"/>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6" sqref="D26:E26"/>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04" t="str">
        <f>CONCATENATE("PART FIVE - UTILITY ALLOWANCES","  -  ",'Part I-Project Information'!$O$4," ",'Part I-Project Information'!$F$22,", ",'Part I-Project Information'!F24,", ",'Part I-Project Information'!J25," County")</f>
        <v>PART FIVE - UTILITY ALLOWANCES  -  2011-053 Hampton Court , Hampton, Henry County</v>
      </c>
      <c r="B1" s="1305"/>
      <c r="C1" s="1305"/>
      <c r="D1" s="1305"/>
      <c r="E1" s="1305"/>
      <c r="F1" s="1305"/>
      <c r="G1" s="1305"/>
      <c r="H1" s="1305"/>
      <c r="I1" s="1305"/>
      <c r="J1" s="1305"/>
      <c r="K1" s="1305"/>
      <c r="L1" s="1305"/>
      <c r="M1" s="1305"/>
      <c r="N1" s="11"/>
      <c r="O1" s="11"/>
      <c r="P1" s="11"/>
      <c r="Q1" s="11"/>
      <c r="R1" s="19"/>
      <c r="S1" s="19"/>
      <c r="T1" s="19"/>
    </row>
    <row r="2" spans="1:20" s="9" customFormat="1"/>
    <row r="3" spans="1:20" s="9" customFormat="1">
      <c r="F3" s="5" t="s">
        <v>806</v>
      </c>
      <c r="I3" s="742" t="str">
        <f>VLOOKUP('Part I-Project Information'!$J$25,'Part I-Project Information'!$C$183:$D$342,2)</f>
        <v>Middle</v>
      </c>
    </row>
    <row r="4" spans="1:20" s="9" customFormat="1"/>
    <row r="5" spans="1:20" s="9" customFormat="1">
      <c r="A5" s="16" t="s">
        <v>950</v>
      </c>
      <c r="B5" s="16" t="s">
        <v>3352</v>
      </c>
      <c r="F5" s="9" t="s">
        <v>3806</v>
      </c>
      <c r="I5" s="1306" t="s">
        <v>334</v>
      </c>
      <c r="J5" s="1307"/>
      <c r="K5" s="1307"/>
      <c r="L5" s="1307"/>
      <c r="M5" s="1308"/>
    </row>
    <row r="6" spans="1:20" s="9" customFormat="1" ht="13.2" customHeight="1">
      <c r="A6" s="16"/>
      <c r="F6" s="9" t="s">
        <v>972</v>
      </c>
      <c r="H6" s="31"/>
      <c r="I6" s="1309">
        <v>40695</v>
      </c>
      <c r="J6" s="1310"/>
      <c r="K6" s="77" t="s">
        <v>833</v>
      </c>
      <c r="L6" s="1311" t="s">
        <v>3972</v>
      </c>
      <c r="M6" s="1308"/>
    </row>
    <row r="7" spans="1:20" s="9" customFormat="1" ht="6" customHeight="1">
      <c r="A7" s="16"/>
    </row>
    <row r="8" spans="1:20" s="16" customFormat="1">
      <c r="B8" s="337"/>
      <c r="C8" s="337"/>
      <c r="D8" s="337"/>
      <c r="E8" s="337"/>
      <c r="F8" s="1313" t="s">
        <v>942</v>
      </c>
      <c r="G8" s="1313"/>
      <c r="I8" s="1312" t="s">
        <v>258</v>
      </c>
      <c r="J8" s="1312"/>
      <c r="K8" s="1312"/>
      <c r="L8" s="1312"/>
      <c r="M8" s="1312"/>
    </row>
    <row r="9" spans="1:20" s="16" customFormat="1">
      <c r="B9" s="337" t="s">
        <v>1380</v>
      </c>
      <c r="D9" s="337" t="s">
        <v>2361</v>
      </c>
      <c r="F9" s="736" t="s">
        <v>978</v>
      </c>
      <c r="G9" s="736" t="s">
        <v>2904</v>
      </c>
      <c r="I9" s="338">
        <v>0</v>
      </c>
      <c r="J9" s="339">
        <v>1</v>
      </c>
      <c r="K9" s="339">
        <v>2</v>
      </c>
      <c r="L9" s="339">
        <v>3</v>
      </c>
      <c r="M9" s="339">
        <v>4</v>
      </c>
    </row>
    <row r="10" spans="1:20" s="9" customFormat="1">
      <c r="B10" s="340" t="s">
        <v>2906</v>
      </c>
      <c r="C10" s="341"/>
      <c r="D10" s="1314" t="s">
        <v>3973</v>
      </c>
      <c r="E10" s="1315"/>
      <c r="F10" s="856" t="s">
        <v>651</v>
      </c>
      <c r="G10" s="856"/>
      <c r="H10" s="342"/>
      <c r="I10" s="857"/>
      <c r="J10" s="857"/>
      <c r="K10" s="857">
        <v>9</v>
      </c>
      <c r="L10" s="857"/>
      <c r="M10" s="857"/>
    </row>
    <row r="11" spans="1:20" s="9" customFormat="1">
      <c r="B11" s="343" t="s">
        <v>686</v>
      </c>
      <c r="C11" s="344"/>
      <c r="D11" s="343" t="s">
        <v>2357</v>
      </c>
      <c r="E11" s="344"/>
      <c r="F11" s="858" t="s">
        <v>651</v>
      </c>
      <c r="G11" s="858"/>
      <c r="H11" s="345"/>
      <c r="I11" s="859"/>
      <c r="J11" s="859"/>
      <c r="K11" s="859">
        <v>41</v>
      </c>
      <c r="L11" s="860"/>
      <c r="M11" s="860"/>
    </row>
    <row r="12" spans="1:20" s="9" customFormat="1">
      <c r="B12" s="343" t="s">
        <v>2358</v>
      </c>
      <c r="C12" s="344"/>
      <c r="D12" s="1316" t="s">
        <v>2357</v>
      </c>
      <c r="E12" s="1317"/>
      <c r="F12" s="858" t="s">
        <v>651</v>
      </c>
      <c r="G12" s="858"/>
      <c r="H12" s="345"/>
      <c r="I12" s="859"/>
      <c r="J12" s="859"/>
      <c r="K12" s="859">
        <v>12</v>
      </c>
      <c r="L12" s="860"/>
      <c r="M12" s="860"/>
    </row>
    <row r="13" spans="1:20" s="9" customFormat="1">
      <c r="B13" s="343" t="s">
        <v>2359</v>
      </c>
      <c r="C13" s="344"/>
      <c r="D13" s="1316" t="s">
        <v>2357</v>
      </c>
      <c r="E13" s="1317"/>
      <c r="F13" s="858" t="s">
        <v>651</v>
      </c>
      <c r="G13" s="858"/>
      <c r="H13" s="345"/>
      <c r="I13" s="859"/>
      <c r="J13" s="859"/>
      <c r="K13" s="859">
        <v>36</v>
      </c>
      <c r="L13" s="860"/>
      <c r="M13" s="860"/>
    </row>
    <row r="14" spans="1:20" s="9" customFormat="1">
      <c r="B14" s="343" t="s">
        <v>2360</v>
      </c>
      <c r="C14" s="344"/>
      <c r="D14" s="343" t="s">
        <v>2357</v>
      </c>
      <c r="E14" s="346"/>
      <c r="F14" s="858" t="s">
        <v>651</v>
      </c>
      <c r="G14" s="858"/>
      <c r="H14" s="345"/>
      <c r="I14" s="859"/>
      <c r="J14" s="859"/>
      <c r="K14" s="859">
        <v>33</v>
      </c>
      <c r="L14" s="860"/>
      <c r="M14" s="860"/>
    </row>
    <row r="15" spans="1:20" s="9" customFormat="1">
      <c r="B15" s="343" t="s">
        <v>2072</v>
      </c>
      <c r="C15" s="344"/>
      <c r="D15" s="343" t="s">
        <v>3351</v>
      </c>
      <c r="E15" s="861" t="s">
        <v>3963</v>
      </c>
      <c r="F15" s="858" t="s">
        <v>651</v>
      </c>
      <c r="G15" s="858"/>
      <c r="H15" s="345"/>
      <c r="I15" s="859"/>
      <c r="J15" s="859"/>
      <c r="K15" s="859">
        <v>64</v>
      </c>
      <c r="L15" s="860"/>
      <c r="M15" s="860"/>
    </row>
    <row r="16" spans="1:20" s="9" customFormat="1">
      <c r="B16" s="347" t="s">
        <v>2905</v>
      </c>
      <c r="C16" s="348"/>
      <c r="D16" s="347"/>
      <c r="E16" s="315"/>
      <c r="F16" s="862"/>
      <c r="G16" s="862" t="s">
        <v>651</v>
      </c>
      <c r="H16" s="349"/>
      <c r="I16" s="863"/>
      <c r="J16" s="863"/>
      <c r="K16" s="863"/>
      <c r="L16" s="864"/>
      <c r="M16" s="864"/>
    </row>
    <row r="17" spans="1:19" s="9" customFormat="1">
      <c r="B17" s="337" t="s">
        <v>1640</v>
      </c>
      <c r="D17" s="31"/>
      <c r="E17" s="31"/>
      <c r="F17" s="111"/>
      <c r="G17" s="111"/>
      <c r="I17" s="736">
        <f>SUM(I10:I16)</f>
        <v>0</v>
      </c>
      <c r="J17" s="736">
        <f>SUM(J10:J16)</f>
        <v>0</v>
      </c>
      <c r="K17" s="736">
        <f>SUM(K10:K16)</f>
        <v>195</v>
      </c>
      <c r="L17" s="736">
        <f>SUM(L10:L16)</f>
        <v>0</v>
      </c>
      <c r="M17" s="736">
        <f>SUM(M10:M16)</f>
        <v>0</v>
      </c>
    </row>
    <row r="18" spans="1:19" s="9" customFormat="1" ht="11.25" customHeight="1">
      <c r="M18" s="31"/>
      <c r="N18" s="31"/>
      <c r="O18" s="31"/>
      <c r="P18" s="31"/>
      <c r="Q18" s="31"/>
      <c r="R18" s="31"/>
      <c r="S18" s="31"/>
    </row>
    <row r="19" spans="1:19" s="9" customFormat="1">
      <c r="A19" s="16" t="s">
        <v>1229</v>
      </c>
      <c r="B19" s="16" t="s">
        <v>3353</v>
      </c>
      <c r="F19" s="9" t="s">
        <v>3806</v>
      </c>
      <c r="I19" s="1311"/>
      <c r="J19" s="1307"/>
      <c r="K19" s="1307"/>
      <c r="L19" s="1307"/>
      <c r="M19" s="1308"/>
    </row>
    <row r="20" spans="1:19" s="9" customFormat="1" ht="13.2" customHeight="1">
      <c r="A20" s="16"/>
      <c r="B20" s="16"/>
      <c r="F20" s="9" t="s">
        <v>972</v>
      </c>
      <c r="H20" s="31"/>
      <c r="I20" s="1309"/>
      <c r="J20" s="1310"/>
      <c r="K20" s="77" t="s">
        <v>833</v>
      </c>
      <c r="L20" s="1311"/>
      <c r="M20" s="1308"/>
    </row>
    <row r="21" spans="1:19" s="9" customFormat="1" ht="6" customHeight="1">
      <c r="A21" s="16"/>
    </row>
    <row r="22" spans="1:19" s="16" customFormat="1">
      <c r="B22" s="337"/>
      <c r="C22" s="337"/>
      <c r="D22" s="337"/>
      <c r="E22" s="337"/>
      <c r="F22" s="1313" t="s">
        <v>942</v>
      </c>
      <c r="G22" s="1313"/>
      <c r="I22" s="1312" t="s">
        <v>258</v>
      </c>
      <c r="J22" s="1312"/>
      <c r="K22" s="1312"/>
      <c r="L22" s="1312"/>
      <c r="M22" s="1312"/>
    </row>
    <row r="23" spans="1:19" s="16" customFormat="1">
      <c r="B23" s="337" t="s">
        <v>1380</v>
      </c>
      <c r="D23" s="337" t="s">
        <v>2361</v>
      </c>
      <c r="F23" s="736" t="s">
        <v>978</v>
      </c>
      <c r="G23" s="736" t="s">
        <v>2904</v>
      </c>
      <c r="I23" s="338">
        <v>0</v>
      </c>
      <c r="J23" s="339">
        <v>1</v>
      </c>
      <c r="K23" s="339">
        <v>2</v>
      </c>
      <c r="L23" s="339">
        <v>3</v>
      </c>
      <c r="M23" s="339">
        <v>4</v>
      </c>
    </row>
    <row r="24" spans="1:19" s="9" customFormat="1">
      <c r="B24" s="340" t="s">
        <v>2906</v>
      </c>
      <c r="C24" s="341"/>
      <c r="D24" s="1314" t="s">
        <v>2861</v>
      </c>
      <c r="E24" s="1315"/>
      <c r="F24" s="856"/>
      <c r="G24" s="856"/>
      <c r="H24" s="342"/>
      <c r="I24" s="857"/>
      <c r="J24" s="857"/>
      <c r="K24" s="857"/>
      <c r="L24" s="857"/>
      <c r="M24" s="857"/>
    </row>
    <row r="25" spans="1:19" s="9" customFormat="1">
      <c r="B25" s="343" t="s">
        <v>686</v>
      </c>
      <c r="C25" s="344"/>
      <c r="D25" s="343" t="s">
        <v>2357</v>
      </c>
      <c r="E25" s="344"/>
      <c r="F25" s="858"/>
      <c r="G25" s="858"/>
      <c r="H25" s="345"/>
      <c r="I25" s="859"/>
      <c r="J25" s="859"/>
      <c r="K25" s="859"/>
      <c r="L25" s="860"/>
      <c r="M25" s="860"/>
    </row>
    <row r="26" spans="1:19" s="9" customFormat="1">
      <c r="B26" s="343" t="s">
        <v>2358</v>
      </c>
      <c r="C26" s="344"/>
      <c r="D26" s="1316" t="s">
        <v>2861</v>
      </c>
      <c r="E26" s="1317"/>
      <c r="F26" s="858"/>
      <c r="G26" s="858"/>
      <c r="H26" s="345"/>
      <c r="I26" s="859"/>
      <c r="J26" s="859"/>
      <c r="K26" s="859"/>
      <c r="L26" s="860"/>
      <c r="M26" s="860"/>
    </row>
    <row r="27" spans="1:19" s="9" customFormat="1">
      <c r="B27" s="343" t="s">
        <v>2359</v>
      </c>
      <c r="C27" s="344"/>
      <c r="D27" s="1316" t="s">
        <v>2861</v>
      </c>
      <c r="E27" s="1317"/>
      <c r="F27" s="858"/>
      <c r="G27" s="858"/>
      <c r="H27" s="345"/>
      <c r="I27" s="859"/>
      <c r="J27" s="859"/>
      <c r="K27" s="859"/>
      <c r="L27" s="860"/>
      <c r="M27" s="860"/>
    </row>
    <row r="28" spans="1:19" s="9" customFormat="1">
      <c r="B28" s="343" t="s">
        <v>2360</v>
      </c>
      <c r="C28" s="344"/>
      <c r="D28" s="343" t="s">
        <v>2357</v>
      </c>
      <c r="E28" s="346"/>
      <c r="F28" s="858"/>
      <c r="G28" s="858"/>
      <c r="H28" s="345"/>
      <c r="I28" s="859"/>
      <c r="J28" s="859"/>
      <c r="K28" s="859"/>
      <c r="L28" s="860"/>
      <c r="M28" s="860"/>
    </row>
    <row r="29" spans="1:19" s="9" customFormat="1">
      <c r="B29" s="343" t="s">
        <v>2072</v>
      </c>
      <c r="C29" s="344"/>
      <c r="D29" s="343" t="s">
        <v>3351</v>
      </c>
      <c r="E29" s="861" t="s">
        <v>259</v>
      </c>
      <c r="F29" s="858"/>
      <c r="G29" s="858"/>
      <c r="H29" s="345"/>
      <c r="I29" s="859"/>
      <c r="J29" s="859"/>
      <c r="K29" s="859"/>
      <c r="L29" s="860"/>
      <c r="M29" s="860"/>
    </row>
    <row r="30" spans="1:19" s="9" customFormat="1">
      <c r="B30" s="347" t="s">
        <v>2905</v>
      </c>
      <c r="C30" s="348"/>
      <c r="D30" s="347"/>
      <c r="E30" s="315"/>
      <c r="F30" s="862"/>
      <c r="G30" s="862"/>
      <c r="H30" s="349"/>
      <c r="I30" s="863"/>
      <c r="J30" s="863"/>
      <c r="K30" s="863"/>
      <c r="L30" s="864"/>
      <c r="M30" s="864"/>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24"/>
      <c r="C36" s="1325"/>
      <c r="D36" s="1325"/>
      <c r="E36" s="1325"/>
      <c r="F36" s="1325"/>
      <c r="G36" s="1325"/>
      <c r="H36" s="1325"/>
      <c r="I36" s="1325"/>
      <c r="J36" s="1325"/>
      <c r="K36" s="1325"/>
      <c r="L36" s="1325"/>
      <c r="M36" s="1326"/>
      <c r="N36" s="31"/>
      <c r="O36" s="31"/>
      <c r="P36" s="31"/>
      <c r="Q36" s="31"/>
      <c r="R36" s="31"/>
      <c r="S36" s="31"/>
    </row>
    <row r="37" spans="1:19" s="9" customFormat="1" ht="12" customHeight="1">
      <c r="B37" s="1327"/>
      <c r="C37" s="1328"/>
      <c r="D37" s="1328"/>
      <c r="E37" s="1328"/>
      <c r="F37" s="1328"/>
      <c r="G37" s="1328"/>
      <c r="H37" s="1328"/>
      <c r="I37" s="1328"/>
      <c r="J37" s="1328"/>
      <c r="K37" s="1328"/>
      <c r="L37" s="1328"/>
      <c r="M37" s="1329"/>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18"/>
      <c r="C40" s="1319"/>
      <c r="D40" s="1319"/>
      <c r="E40" s="1319"/>
      <c r="F40" s="1319"/>
      <c r="G40" s="1319"/>
      <c r="H40" s="1319"/>
      <c r="I40" s="1319"/>
      <c r="J40" s="1319"/>
      <c r="K40" s="1319"/>
      <c r="L40" s="1319"/>
      <c r="M40" s="1320"/>
      <c r="N40" s="31"/>
      <c r="O40" s="31"/>
      <c r="P40" s="31"/>
      <c r="Q40" s="31"/>
      <c r="R40" s="31"/>
      <c r="S40" s="31"/>
    </row>
    <row r="41" spans="1:19" s="9" customFormat="1" ht="12" customHeight="1">
      <c r="B41" s="1321"/>
      <c r="C41" s="1322"/>
      <c r="D41" s="1322"/>
      <c r="E41" s="1322"/>
      <c r="F41" s="1322"/>
      <c r="G41" s="1322"/>
      <c r="H41" s="1322"/>
      <c r="I41" s="1322"/>
      <c r="J41" s="1322"/>
      <c r="K41" s="1322"/>
      <c r="L41" s="1322"/>
      <c r="M41" s="1323"/>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2011-06-23T14:30:31Z</cp:lastPrinted>
  <dcterms:created xsi:type="dcterms:W3CDTF">2005-09-15T20:51:37Z</dcterms:created>
  <dcterms:modified xsi:type="dcterms:W3CDTF">2011-08-16T15:49:44Z</dcterms:modified>
</cp:coreProperties>
</file>