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625" yWindow="165"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l="1"/>
  <c r="B32" i="3"/>
  <c r="P2751" i="35"/>
  <c r="H2603"/>
  <c r="Q2135"/>
  <c r="R1726"/>
  <c r="R1727"/>
  <c r="R1728"/>
  <c r="R1729"/>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F58"/>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S1617" s="1"/>
  <c r="P1616"/>
  <c r="P1615"/>
  <c r="P1617" s="1"/>
  <c r="M1616"/>
  <c r="M1615"/>
  <c r="J1616"/>
  <c r="J1615"/>
  <c r="G1616"/>
  <c r="G1615"/>
  <c r="G1617" s="1"/>
  <c r="P1612"/>
  <c r="P1611"/>
  <c r="P1613" s="1"/>
  <c r="M1612"/>
  <c r="M1611"/>
  <c r="M1613" s="1"/>
  <c r="J1612"/>
  <c r="S1612"/>
  <c r="S1611"/>
  <c r="S1610"/>
  <c r="S1609"/>
  <c r="S1608"/>
  <c r="S1607"/>
  <c r="G1608"/>
  <c r="G1609"/>
  <c r="G1610"/>
  <c r="G1611"/>
  <c r="G1612"/>
  <c r="A1612" s="1"/>
  <c r="S1604"/>
  <c r="S1603"/>
  <c r="S1602"/>
  <c r="P1604"/>
  <c r="P1603"/>
  <c r="P1602"/>
  <c r="P1605" s="1"/>
  <c r="M1604"/>
  <c r="M1603"/>
  <c r="M1602"/>
  <c r="J1604"/>
  <c r="J1603"/>
  <c r="J1602"/>
  <c r="G1603"/>
  <c r="G1604"/>
  <c r="F1604" s="1"/>
  <c r="S1599"/>
  <c r="S1598"/>
  <c r="S1597"/>
  <c r="S1596"/>
  <c r="S1600" s="1"/>
  <c r="G1597"/>
  <c r="G1598"/>
  <c r="G1599"/>
  <c r="S1593"/>
  <c r="S1592"/>
  <c r="S1591"/>
  <c r="S1590"/>
  <c r="S1589"/>
  <c r="S1588"/>
  <c r="S1587"/>
  <c r="S1586"/>
  <c r="S1585"/>
  <c r="S1594" s="1"/>
  <c r="G1586"/>
  <c r="G1587"/>
  <c r="G1588"/>
  <c r="G1589"/>
  <c r="G1590"/>
  <c r="G1591"/>
  <c r="G1592"/>
  <c r="G1593"/>
  <c r="U1593" s="1"/>
  <c r="J1611"/>
  <c r="G1607"/>
  <c r="G1613" s="1"/>
  <c r="G1602"/>
  <c r="G1596"/>
  <c r="G1600" s="1"/>
  <c r="G1585"/>
  <c r="S1578"/>
  <c r="S1577"/>
  <c r="S1576"/>
  <c r="S1575"/>
  <c r="S1574"/>
  <c r="S1573"/>
  <c r="S1572"/>
  <c r="S1579" s="1"/>
  <c r="P1578"/>
  <c r="P1577"/>
  <c r="P1576"/>
  <c r="P1575"/>
  <c r="P1574"/>
  <c r="M1578"/>
  <c r="M1577"/>
  <c r="M1576"/>
  <c r="M1575"/>
  <c r="M1574"/>
  <c r="M1579" s="1"/>
  <c r="J1575"/>
  <c r="J1576"/>
  <c r="J1577"/>
  <c r="J1578"/>
  <c r="G1573"/>
  <c r="G1574"/>
  <c r="G1575"/>
  <c r="G1576"/>
  <c r="G1577"/>
  <c r="G1578"/>
  <c r="U1578" s="1"/>
  <c r="S1569"/>
  <c r="S1568"/>
  <c r="S1567"/>
  <c r="S1566"/>
  <c r="S1570" s="1"/>
  <c r="P1569"/>
  <c r="P1568"/>
  <c r="P1567"/>
  <c r="P1566"/>
  <c r="P1570" s="1"/>
  <c r="M1569"/>
  <c r="M1568"/>
  <c r="M1567"/>
  <c r="M1566"/>
  <c r="M1570" s="1"/>
  <c r="J1569"/>
  <c r="J1568"/>
  <c r="J1567"/>
  <c r="J1566"/>
  <c r="J1570" s="1"/>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S1552" s="1"/>
  <c r="P1551"/>
  <c r="P1550"/>
  <c r="P1549"/>
  <c r="P1548"/>
  <c r="P1547"/>
  <c r="P1546"/>
  <c r="P1545"/>
  <c r="P1544"/>
  <c r="P1552" s="1"/>
  <c r="M1551"/>
  <c r="M1550"/>
  <c r="M1549"/>
  <c r="M1548"/>
  <c r="M1547"/>
  <c r="M1546"/>
  <c r="M1545"/>
  <c r="M1544"/>
  <c r="M1552" s="1"/>
  <c r="J1551"/>
  <c r="J1550"/>
  <c r="J1549"/>
  <c r="J1548"/>
  <c r="J1547"/>
  <c r="J1546"/>
  <c r="J1545"/>
  <c r="J1544"/>
  <c r="J1552" s="1"/>
  <c r="G1545"/>
  <c r="G1546"/>
  <c r="G1547"/>
  <c r="G1548"/>
  <c r="G1549"/>
  <c r="G1550"/>
  <c r="G1551"/>
  <c r="J1574"/>
  <c r="J1579" s="1"/>
  <c r="G1572"/>
  <c r="G1566"/>
  <c r="G1570" s="1"/>
  <c r="S1538"/>
  <c r="P1538"/>
  <c r="M1538"/>
  <c r="J1538"/>
  <c r="S1531"/>
  <c r="S1530"/>
  <c r="P1531"/>
  <c r="P1530"/>
  <c r="P1532" s="1"/>
  <c r="M1531"/>
  <c r="M1530"/>
  <c r="M1532" s="1"/>
  <c r="J1531"/>
  <c r="J1530"/>
  <c r="J1532" s="1"/>
  <c r="G1531"/>
  <c r="G1530"/>
  <c r="G1532" s="1"/>
  <c r="S1527"/>
  <c r="S1526"/>
  <c r="S1525"/>
  <c r="P1527"/>
  <c r="P1526"/>
  <c r="P1525"/>
  <c r="P1528" s="1"/>
  <c r="M1527"/>
  <c r="M1526"/>
  <c r="M1525"/>
  <c r="J1527"/>
  <c r="J1526"/>
  <c r="J1525"/>
  <c r="J1528" s="1"/>
  <c r="G1526"/>
  <c r="G1527"/>
  <c r="G1554"/>
  <c r="G1544"/>
  <c r="G1538"/>
  <c r="G1525"/>
  <c r="G1528" s="1"/>
  <c r="S1522"/>
  <c r="S1521"/>
  <c r="S1523" s="1"/>
  <c r="J1522"/>
  <c r="J1521"/>
  <c r="J1523" s="1"/>
  <c r="G1522"/>
  <c r="M1518"/>
  <c r="S1516"/>
  <c r="S1517"/>
  <c r="S1518"/>
  <c r="G1516"/>
  <c r="G1517"/>
  <c r="G1518"/>
  <c r="S1512"/>
  <c r="S1511"/>
  <c r="S1510"/>
  <c r="S1509"/>
  <c r="S1508"/>
  <c r="S1507"/>
  <c r="S1506"/>
  <c r="S1505"/>
  <c r="S1504"/>
  <c r="G1521"/>
  <c r="G1523" s="1"/>
  <c r="M1521"/>
  <c r="P1521"/>
  <c r="P1523" s="1"/>
  <c r="S1515"/>
  <c r="M1517"/>
  <c r="M1519" s="1"/>
  <c r="G1515"/>
  <c r="P1512"/>
  <c r="P1511"/>
  <c r="P1510"/>
  <c r="P1509"/>
  <c r="P1508"/>
  <c r="P1507"/>
  <c r="P1506"/>
  <c r="P1505"/>
  <c r="P1504"/>
  <c r="P1513" s="1"/>
  <c r="M1512"/>
  <c r="M1511"/>
  <c r="M1510"/>
  <c r="M1509"/>
  <c r="M1508"/>
  <c r="M1507"/>
  <c r="M1506"/>
  <c r="M1505"/>
  <c r="M1504"/>
  <c r="J1512"/>
  <c r="J1511"/>
  <c r="J1510"/>
  <c r="J1509"/>
  <c r="J1508"/>
  <c r="J1507"/>
  <c r="J1506"/>
  <c r="J1505"/>
  <c r="J1504"/>
  <c r="G1505"/>
  <c r="G1506"/>
  <c r="G1507"/>
  <c r="G1508"/>
  <c r="G1509"/>
  <c r="G1510"/>
  <c r="G1511"/>
  <c r="G1512"/>
  <c r="G1504"/>
  <c r="J1605"/>
  <c r="J1613"/>
  <c r="J1617"/>
  <c r="M1523"/>
  <c r="M1617"/>
  <c r="H49" i="3"/>
  <c r="J1650" i="35" s="1"/>
  <c r="J1652"/>
  <c r="G1605"/>
  <c r="C1605" s="1"/>
  <c r="S1532"/>
  <c r="S1613"/>
  <c r="O1614"/>
  <c r="O1606"/>
  <c r="F1603"/>
  <c r="F1602"/>
  <c r="O1601"/>
  <c r="O1595"/>
  <c r="E1588"/>
  <c r="O1584"/>
  <c r="A1578"/>
  <c r="O1571"/>
  <c r="O1565"/>
  <c r="O1553"/>
  <c r="U1551"/>
  <c r="A1551"/>
  <c r="O1543"/>
  <c r="F1538"/>
  <c r="O1537"/>
  <c r="E1531"/>
  <c r="F1531" s="1"/>
  <c r="E1530"/>
  <c r="F1530" s="1"/>
  <c r="O1529"/>
  <c r="O1524"/>
  <c r="O1520"/>
  <c r="O1514"/>
  <c r="U1511"/>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F2509"/>
  <c r="G2502" s="1"/>
  <c r="G2503"/>
  <c r="A2493"/>
  <c r="O207" i="11"/>
  <c r="A2793" i="35"/>
  <c r="A2792"/>
  <c r="A2051"/>
  <c r="H2051" s="1"/>
  <c r="A2049"/>
  <c r="A2036"/>
  <c r="A2035"/>
  <c r="F2016"/>
  <c r="F2027" s="1"/>
  <c r="E2016"/>
  <c r="D2016"/>
  <c r="C2016"/>
  <c r="C2027" s="1"/>
  <c r="B2016"/>
  <c r="B2027" s="1"/>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s="1"/>
  <c r="E2013"/>
  <c r="E2033" s="1"/>
  <c r="D2013"/>
  <c r="D2033" s="1"/>
  <c r="C2013"/>
  <c r="C2033" s="1"/>
  <c r="B2013"/>
  <c r="B2033" s="1"/>
  <c r="F2017"/>
  <c r="E2017"/>
  <c r="D2017"/>
  <c r="C2017"/>
  <c r="B2017"/>
  <c r="A1962"/>
  <c r="A1997" s="1"/>
  <c r="A2032"/>
  <c r="A1961"/>
  <c r="A1996"/>
  <c r="A2031" s="1"/>
  <c r="A1925"/>
  <c r="A1960" s="1"/>
  <c r="A1995" s="1"/>
  <c r="A2030" s="1"/>
  <c r="A1924"/>
  <c r="A1959" s="1"/>
  <c r="A1994" s="1"/>
  <c r="A2029" s="1"/>
  <c r="B2028"/>
  <c r="A1923"/>
  <c r="A1958" s="1"/>
  <c r="A1993" s="1"/>
  <c r="A2028" s="1"/>
  <c r="E2027"/>
  <c r="A1922"/>
  <c r="A1957" s="1"/>
  <c r="A1992" s="1"/>
  <c r="A2027" s="1"/>
  <c r="C1901"/>
  <c r="D1901" s="1"/>
  <c r="E1901" s="1"/>
  <c r="F1901" s="1"/>
  <c r="G1901"/>
  <c r="H1901" s="1"/>
  <c r="I1901" s="1"/>
  <c r="J1901" s="1"/>
  <c r="K1901" s="1"/>
  <c r="A1951"/>
  <c r="A1986"/>
  <c r="A2021" s="1"/>
  <c r="A1950"/>
  <c r="A1985" s="1"/>
  <c r="A2020"/>
  <c r="A1914"/>
  <c r="A1949" s="1"/>
  <c r="A1984" s="1"/>
  <c r="A2019" s="1"/>
  <c r="A1913"/>
  <c r="A1948" s="1"/>
  <c r="A1983" s="1"/>
  <c r="A2018" s="1"/>
  <c r="A1912"/>
  <c r="A1947" s="1"/>
  <c r="A1982" s="1"/>
  <c r="A2017" s="1"/>
  <c r="A1911"/>
  <c r="A1946" s="1"/>
  <c r="A1981" s="1"/>
  <c r="A2016" s="1"/>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6"/>
  <c r="J1976"/>
  <c r="I1976"/>
  <c r="H1976"/>
  <c r="G1976"/>
  <c r="F1976"/>
  <c r="E1976"/>
  <c r="D1976"/>
  <c r="C1976"/>
  <c r="B1976"/>
  <c r="K1975"/>
  <c r="J1975"/>
  <c r="I1975"/>
  <c r="H1975"/>
  <c r="G1975"/>
  <c r="F1975"/>
  <c r="E1975"/>
  <c r="D1975"/>
  <c r="C1975"/>
  <c r="B1975"/>
  <c r="A1966"/>
  <c r="A1965"/>
  <c r="A1964"/>
  <c r="K1943"/>
  <c r="K1963" s="1"/>
  <c r="J1943"/>
  <c r="J1963" s="1"/>
  <c r="I1943"/>
  <c r="I1963" s="1"/>
  <c r="H1943"/>
  <c r="H1963" s="1"/>
  <c r="G1943"/>
  <c r="G1963" s="1"/>
  <c r="F1943"/>
  <c r="F1963" s="1"/>
  <c r="E1943"/>
  <c r="E1963" s="1"/>
  <c r="D1943"/>
  <c r="D1963" s="1"/>
  <c r="C1943"/>
  <c r="C1963" s="1"/>
  <c r="B1943"/>
  <c r="B1963" s="1"/>
  <c r="K1947"/>
  <c r="J1947"/>
  <c r="J1958" s="1"/>
  <c r="I1947"/>
  <c r="H1947"/>
  <c r="H1958" s="1"/>
  <c r="G1947"/>
  <c r="F1947"/>
  <c r="F1958" s="1"/>
  <c r="E1947"/>
  <c r="D1947"/>
  <c r="D1958" s="1"/>
  <c r="C1947"/>
  <c r="B1947"/>
  <c r="B1958" s="1"/>
  <c r="J1957"/>
  <c r="H1957"/>
  <c r="F1957"/>
  <c r="D1957"/>
  <c r="B1957"/>
  <c r="K1941"/>
  <c r="J1941"/>
  <c r="I1941"/>
  <c r="H1941"/>
  <c r="G1941"/>
  <c r="F1941"/>
  <c r="E1941"/>
  <c r="D1941"/>
  <c r="C1941"/>
  <c r="B1941"/>
  <c r="K1940"/>
  <c r="J1940"/>
  <c r="I1940"/>
  <c r="H1940"/>
  <c r="G1940"/>
  <c r="F1940"/>
  <c r="E1940"/>
  <c r="D1940"/>
  <c r="C1940"/>
  <c r="B1940"/>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I1902"/>
  <c r="I1910" s="1"/>
  <c r="I1921" s="1"/>
  <c r="G1902"/>
  <c r="G1910" s="1"/>
  <c r="G1921" s="1"/>
  <c r="F1902"/>
  <c r="F1910"/>
  <c r="F1921" s="1"/>
  <c r="E1902"/>
  <c r="E1910" s="1"/>
  <c r="E1921" s="1"/>
  <c r="D1902"/>
  <c r="D1910"/>
  <c r="D1921" s="1"/>
  <c r="C1902"/>
  <c r="C1910" s="1"/>
  <c r="C1921" s="1"/>
  <c r="B1902"/>
  <c r="B1903"/>
  <c r="B1904" s="1"/>
  <c r="B1905"/>
  <c r="B1906"/>
  <c r="B1907"/>
  <c r="B1909"/>
  <c r="J1909"/>
  <c r="H1909"/>
  <c r="F1909"/>
  <c r="E1909"/>
  <c r="D1909"/>
  <c r="C1909"/>
  <c r="I1907"/>
  <c r="G1907"/>
  <c r="F1907"/>
  <c r="E1907"/>
  <c r="D1907"/>
  <c r="C1907"/>
  <c r="K1906"/>
  <c r="J1906"/>
  <c r="I1906"/>
  <c r="H1906"/>
  <c r="G1906"/>
  <c r="F1906"/>
  <c r="E1906"/>
  <c r="D1906"/>
  <c r="C1906"/>
  <c r="K1905"/>
  <c r="J1905"/>
  <c r="I1905"/>
  <c r="H1905"/>
  <c r="G1905"/>
  <c r="F1905"/>
  <c r="E1905"/>
  <c r="D1905"/>
  <c r="C1905"/>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c r="H402"/>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s="1"/>
  <c r="O166"/>
  <c r="O180"/>
  <c r="O2672" i="35" s="1"/>
  <c r="O2667" s="1"/>
  <c r="O191" i="11"/>
  <c r="O199"/>
  <c r="O235"/>
  <c r="O227" s="1"/>
  <c r="O270"/>
  <c r="O279"/>
  <c r="G109" i="15"/>
  <c r="D37" i="3" s="1"/>
  <c r="D390" i="35" s="1"/>
  <c r="J25" i="7"/>
  <c r="J54" i="35" s="1"/>
  <c r="I3" i="29"/>
  <c r="I17"/>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s="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s="1"/>
  <c r="J158"/>
  <c r="E34"/>
  <c r="F34" s="1"/>
  <c r="E35"/>
  <c r="F35" s="1"/>
  <c r="S36"/>
  <c r="L26" i="3"/>
  <c r="L27" s="1"/>
  <c r="S17" i="15"/>
  <c r="S23"/>
  <c r="S27"/>
  <c r="S32"/>
  <c r="S56"/>
  <c r="S68"/>
  <c r="S74"/>
  <c r="S83"/>
  <c r="S98"/>
  <c r="S104"/>
  <c r="S109"/>
  <c r="S117"/>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s="1"/>
  <c r="P2667" s="1"/>
  <c r="P8" i="11"/>
  <c r="P55"/>
  <c r="P139"/>
  <c r="P132"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726" i="35" s="1"/>
  <c r="P12" i="36"/>
  <c r="P1727" i="35" s="1"/>
  <c r="P13" i="36"/>
  <c r="P1728" i="35" s="1"/>
  <c r="P14" i="36"/>
  <c r="P1729" i="35" s="1"/>
  <c r="P10" i="36"/>
  <c r="P1725" i="35" s="1"/>
  <c r="A37" i="8"/>
  <c r="A72" s="1"/>
  <c r="A107" s="1"/>
  <c r="A142" s="1"/>
  <c r="A36"/>
  <c r="A71" s="1"/>
  <c r="A106" s="1"/>
  <c r="A141" s="1"/>
  <c r="A35"/>
  <c r="A70" s="1"/>
  <c r="A105" s="1"/>
  <c r="A140" s="1"/>
  <c r="A34"/>
  <c r="A69" s="1"/>
  <c r="A104" s="1"/>
  <c r="A139" s="1"/>
  <c r="A73"/>
  <c r="A108" s="1"/>
  <c r="A143" s="1"/>
  <c r="A74"/>
  <c r="A109"/>
  <c r="A144" s="1"/>
  <c r="A63"/>
  <c r="A98" s="1"/>
  <c r="A133" s="1"/>
  <c r="A26"/>
  <c r="A61" s="1"/>
  <c r="A96" s="1"/>
  <c r="A131" s="1"/>
  <c r="A25"/>
  <c r="A60" s="1"/>
  <c r="A95" s="1"/>
  <c r="A130" s="1"/>
  <c r="A24"/>
  <c r="A59" s="1"/>
  <c r="A94" s="1"/>
  <c r="A129" s="1"/>
  <c r="A23"/>
  <c r="A58" s="1"/>
  <c r="A93" s="1"/>
  <c r="A128" s="1"/>
  <c r="A62"/>
  <c r="A97"/>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80" i="8"/>
  <c r="K1968" i="35" s="1"/>
  <c r="J80" i="8"/>
  <c r="J1968" i="35" s="1"/>
  <c r="I80" i="8"/>
  <c r="I1968" i="35"/>
  <c r="H80" i="8"/>
  <c r="H1968" i="35"/>
  <c r="G80" i="8"/>
  <c r="G1968" i="35"/>
  <c r="F80" i="8"/>
  <c r="F1968" i="35"/>
  <c r="E80" i="8"/>
  <c r="E1968" i="35"/>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7" i="3"/>
  <c r="M390" i="35" s="1"/>
  <c r="B1918"/>
  <c r="C1918"/>
  <c r="D1918"/>
  <c r="E1918"/>
  <c r="F1918"/>
  <c r="G1918"/>
  <c r="H1918"/>
  <c r="I1918"/>
  <c r="J1918"/>
  <c r="K1918"/>
  <c r="B1953"/>
  <c r="C1953"/>
  <c r="D1953"/>
  <c r="E1953"/>
  <c r="F1953"/>
  <c r="G1953"/>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M387" i="35"/>
  <c r="F131" i="8"/>
  <c r="F2019" i="35" s="1"/>
  <c r="E131" i="8"/>
  <c r="E2019" i="35" s="1"/>
  <c r="D131" i="8"/>
  <c r="D2019" i="35" s="1"/>
  <c r="C131" i="8"/>
  <c r="C2019" i="35" s="1"/>
  <c r="B131" i="8"/>
  <c r="B2019" i="35" s="1"/>
  <c r="M33" i="3"/>
  <c r="M386" i="35" s="1"/>
  <c r="D101" i="8"/>
  <c r="D1989" i="35" s="1"/>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K96" i="8"/>
  <c r="K1984" i="35" s="1"/>
  <c r="J96" i="8"/>
  <c r="J1984" i="35" s="1"/>
  <c r="I96" i="8"/>
  <c r="I1984" i="35" s="1"/>
  <c r="H96" i="8"/>
  <c r="H1984" i="35" s="1"/>
  <c r="G96" i="8"/>
  <c r="G1984" i="35" s="1"/>
  <c r="F96" i="8"/>
  <c r="F1984" i="35" s="1"/>
  <c r="E96" i="8"/>
  <c r="E1984" i="35" s="1"/>
  <c r="D96" i="8"/>
  <c r="D1984" i="35" s="1"/>
  <c r="C96" i="8"/>
  <c r="C1984" i="35" s="1"/>
  <c r="B96" i="8"/>
  <c r="B1984" i="35" s="1"/>
  <c r="I66" i="8"/>
  <c r="I1954" i="35" s="1"/>
  <c r="G66" i="8"/>
  <c r="G1954" i="35" s="1"/>
  <c r="F1954"/>
  <c r="E1954"/>
  <c r="D1954"/>
  <c r="C1954"/>
  <c r="B1954"/>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K61" i="8"/>
  <c r="K1949" i="35" s="1"/>
  <c r="J61" i="8"/>
  <c r="J1949" i="35" s="1"/>
  <c r="I61" i="8"/>
  <c r="I1949" i="35" s="1"/>
  <c r="H61" i="8"/>
  <c r="H1949" i="35" s="1"/>
  <c r="G61" i="8"/>
  <c r="G1949" i="35" s="1"/>
  <c r="F61" i="8"/>
  <c r="F1949" i="35" s="1"/>
  <c r="E61" i="8"/>
  <c r="E1949" i="35" s="1"/>
  <c r="D61" i="8"/>
  <c r="D1949" i="35" s="1"/>
  <c r="C61" i="8"/>
  <c r="C1949" i="35" s="1"/>
  <c r="B61" i="8"/>
  <c r="B1949" i="35" s="1"/>
  <c r="C60" i="8"/>
  <c r="C1948" i="35" s="1"/>
  <c r="J25" i="8"/>
  <c r="C26"/>
  <c r="C1914" i="35"/>
  <c r="D26" i="8"/>
  <c r="D1914" i="35" s="1"/>
  <c r="E26" i="8"/>
  <c r="E1914" i="35" s="1"/>
  <c r="F26" i="8"/>
  <c r="F1914" i="35" s="1"/>
  <c r="G26" i="8"/>
  <c r="G1914" i="35" s="1"/>
  <c r="H26" i="8"/>
  <c r="H1914" i="35" s="1"/>
  <c r="I26" i="8"/>
  <c r="I1914" i="35" s="1"/>
  <c r="J26" i="8"/>
  <c r="J1914" i="35" s="1"/>
  <c r="K26" i="8"/>
  <c r="K1914" i="35"/>
  <c r="C27" i="8"/>
  <c r="C1915" i="35" s="1"/>
  <c r="D27" i="8"/>
  <c r="D1915" i="35" s="1"/>
  <c r="E27" i="8"/>
  <c r="E1915" i="35" s="1"/>
  <c r="F27" i="8"/>
  <c r="F1915" i="35" s="1"/>
  <c r="G27" i="8"/>
  <c r="G1915" i="35" s="1"/>
  <c r="H27" i="8"/>
  <c r="H1915" i="35" s="1"/>
  <c r="I27" i="8"/>
  <c r="I1915" i="35" s="1"/>
  <c r="J27" i="8"/>
  <c r="J1915" i="35"/>
  <c r="K27" i="8"/>
  <c r="K1915" i="35" s="1"/>
  <c r="C28" i="8"/>
  <c r="C1916" i="35" s="1"/>
  <c r="D28" i="8"/>
  <c r="D1916" i="35" s="1"/>
  <c r="E28" i="8"/>
  <c r="E1916" i="35" s="1"/>
  <c r="F28" i="8"/>
  <c r="F1916" i="35" s="1"/>
  <c r="G28" i="8"/>
  <c r="G1916" i="35" s="1"/>
  <c r="H28" i="8"/>
  <c r="H1916" i="35" s="1"/>
  <c r="I28" i="8"/>
  <c r="I1916" i="35"/>
  <c r="J28" i="8"/>
  <c r="J1916" i="35" s="1"/>
  <c r="K28" i="8"/>
  <c r="K1916" i="35" s="1"/>
  <c r="C1919"/>
  <c r="D1919"/>
  <c r="E1919"/>
  <c r="F1919"/>
  <c r="G1919"/>
  <c r="H1919"/>
  <c r="I1919"/>
  <c r="J1919"/>
  <c r="K1919"/>
  <c r="B26" i="8"/>
  <c r="B1914" i="35" s="1"/>
  <c r="B27" i="8"/>
  <c r="B1915" i="35" s="1"/>
  <c r="B28" i="8"/>
  <c r="B1916" i="35" s="1"/>
  <c r="B1919"/>
  <c r="M83" i="36"/>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P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c r="E13" s="1"/>
  <c r="F13" s="1"/>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46" i="36"/>
  <c r="F155"/>
  <c r="F166"/>
  <c r="K144"/>
  <c r="K153"/>
  <c r="K163"/>
  <c r="P145"/>
  <c r="B129" i="8"/>
  <c r="C129"/>
  <c r="D129"/>
  <c r="E129"/>
  <c r="F129"/>
  <c r="F140" s="1"/>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F70" s="1"/>
  <c r="G59"/>
  <c r="H59"/>
  <c r="I59"/>
  <c r="J59"/>
  <c r="K59"/>
  <c r="B59"/>
  <c r="G120" i="36"/>
  <c r="B52" i="8"/>
  <c r="P120" i="36"/>
  <c r="K52" i="8"/>
  <c r="O120" i="36"/>
  <c r="J52" i="8" s="1"/>
  <c r="N120" i="36"/>
  <c r="I52" i="8"/>
  <c r="M120" i="36"/>
  <c r="H52" i="8" s="1"/>
  <c r="L120" i="36"/>
  <c r="G52" i="8"/>
  <c r="K120" i="36"/>
  <c r="F52" i="8" s="1"/>
  <c r="J120" i="36"/>
  <c r="E52" i="8"/>
  <c r="I120" i="36"/>
  <c r="D52" i="8" s="1"/>
  <c r="H120" i="36"/>
  <c r="C52" i="8"/>
  <c r="C24"/>
  <c r="D24"/>
  <c r="E24"/>
  <c r="F24"/>
  <c r="G24"/>
  <c r="H24"/>
  <c r="I24"/>
  <c r="J24"/>
  <c r="K24"/>
  <c r="B24"/>
  <c r="G109" i="36"/>
  <c r="B17" i="8" s="1"/>
  <c r="H109" i="36"/>
  <c r="C17" i="8" s="1"/>
  <c r="I109" i="36"/>
  <c r="D17" i="8"/>
  <c r="J109" i="36"/>
  <c r="E17" i="8" s="1"/>
  <c r="K109" i="36"/>
  <c r="F17" i="8"/>
  <c r="L109" i="36"/>
  <c r="G17" i="8" s="1"/>
  <c r="M109" i="36"/>
  <c r="H17" i="8"/>
  <c r="N109" i="36"/>
  <c r="I17" i="8" s="1"/>
  <c r="O109" i="36"/>
  <c r="J17" i="8"/>
  <c r="P109" i="36"/>
  <c r="K17" i="8" s="1"/>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F69" i="8"/>
  <c r="GH10" i="36"/>
  <c r="GC10"/>
  <c r="FX10"/>
  <c r="FS10"/>
  <c r="GL10"/>
  <c r="GK10"/>
  <c r="GJ10"/>
  <c r="GI10"/>
  <c r="GG10"/>
  <c r="GF10"/>
  <c r="GE10"/>
  <c r="GD10"/>
  <c r="GG48"/>
  <c r="GF48"/>
  <c r="GE48"/>
  <c r="GD48"/>
  <c r="GB10"/>
  <c r="GA10"/>
  <c r="FZ10"/>
  <c r="FY10"/>
  <c r="FZ48"/>
  <c r="FW10"/>
  <c r="FV10"/>
  <c r="FU10"/>
  <c r="FT10"/>
  <c r="A1" i="11"/>
  <c r="O7" i="15"/>
  <c r="O18"/>
  <c r="O24"/>
  <c r="O28"/>
  <c r="O33"/>
  <c r="O47"/>
  <c r="O57"/>
  <c r="O69"/>
  <c r="O75"/>
  <c r="O88"/>
  <c r="O99"/>
  <c r="O105"/>
  <c r="O110"/>
  <c r="O118"/>
  <c r="J156"/>
  <c r="CQ48" i="36"/>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C1960"/>
  <c r="C1961"/>
  <c r="C1962"/>
  <c r="L379"/>
  <c r="L380" s="1"/>
  <c r="BW48" i="36"/>
  <c r="Y92" s="1"/>
  <c r="AM48"/>
  <c r="AC60" s="1"/>
  <c r="AL48"/>
  <c r="AB60" s="1"/>
  <c r="AK48"/>
  <c r="J60" s="1"/>
  <c r="AJ48"/>
  <c r="Z60" s="1"/>
  <c r="AI48"/>
  <c r="Y60" s="1"/>
  <c r="AC48"/>
  <c r="L58" s="1"/>
  <c r="X48"/>
  <c r="AC57" s="1"/>
  <c r="AB48"/>
  <c r="K58" s="1"/>
  <c r="W48"/>
  <c r="K57" s="1"/>
  <c r="AA48"/>
  <c r="J58" s="1"/>
  <c r="V48"/>
  <c r="J57" s="1"/>
  <c r="Z48"/>
  <c r="I58" s="1"/>
  <c r="U48"/>
  <c r="Z57" s="1"/>
  <c r="Y48"/>
  <c r="H58" s="1"/>
  <c r="T48"/>
  <c r="Y57" s="1"/>
  <c r="M123" i="15"/>
  <c r="M140" s="1"/>
  <c r="M142" s="1"/>
  <c r="M144" s="1"/>
  <c r="O38" i="11"/>
  <c r="O2530" i="35" s="1"/>
  <c r="O2532"/>
  <c r="P38" i="11"/>
  <c r="P2532" i="35"/>
  <c r="A3"/>
  <c r="A354"/>
  <c r="A414"/>
  <c r="A471"/>
  <c r="G471"/>
  <c r="A959"/>
  <c r="A1008"/>
  <c r="I1675"/>
  <c r="R2672"/>
  <c r="P2530"/>
  <c r="H57" i="36"/>
  <c r="Z58"/>
  <c r="AB57"/>
  <c r="AB58"/>
  <c r="L57"/>
  <c r="I60"/>
  <c r="M1513" i="35" l="1"/>
  <c r="S1513"/>
  <c r="M1528"/>
  <c r="S1528"/>
  <c r="M1564"/>
  <c r="P1564"/>
  <c r="S1564"/>
  <c r="P1579"/>
  <c r="M1605"/>
  <c r="S1605"/>
  <c r="P2786"/>
  <c r="P2498" s="1"/>
  <c r="P1619"/>
  <c r="P1636" s="1"/>
  <c r="U1616"/>
  <c r="P1633"/>
  <c r="P1637" s="1"/>
  <c r="F2028"/>
  <c r="E1529"/>
  <c r="J1654"/>
  <c r="H23" i="8"/>
  <c r="H34" s="1"/>
  <c r="D93"/>
  <c r="C2028" i="35"/>
  <c r="E2028"/>
  <c r="D23" i="8"/>
  <c r="D34" s="1"/>
  <c r="B58"/>
  <c r="B69" s="1"/>
  <c r="J58"/>
  <c r="H93"/>
  <c r="D35"/>
  <c r="B23"/>
  <c r="F23"/>
  <c r="F34" s="1"/>
  <c r="J23"/>
  <c r="D58"/>
  <c r="D69" s="1"/>
  <c r="H58"/>
  <c r="H69" s="1"/>
  <c r="B93"/>
  <c r="F93"/>
  <c r="K93"/>
  <c r="J35"/>
  <c r="F35"/>
  <c r="H70"/>
  <c r="D70"/>
  <c r="C23"/>
  <c r="E23"/>
  <c r="G23"/>
  <c r="I23"/>
  <c r="K23"/>
  <c r="C58"/>
  <c r="E58"/>
  <c r="G58"/>
  <c r="I58"/>
  <c r="K58"/>
  <c r="C93"/>
  <c r="E93"/>
  <c r="G93"/>
  <c r="I93"/>
  <c r="C128"/>
  <c r="C139" s="1"/>
  <c r="D2028" i="35"/>
  <c r="D2027"/>
  <c r="J1513"/>
  <c r="E33" i="15"/>
  <c r="B1908" i="35"/>
  <c r="B1928" s="1"/>
  <c r="A1599"/>
  <c r="J93" i="8"/>
  <c r="B128"/>
  <c r="B139" s="1"/>
  <c r="D128"/>
  <c r="D139" s="1"/>
  <c r="O2786" i="35"/>
  <c r="O2498" s="1"/>
  <c r="H65" i="8"/>
  <c r="GJ48" i="36"/>
  <c r="GH48"/>
  <c r="FT48"/>
  <c r="CT48"/>
  <c r="AN48"/>
  <c r="AR48"/>
  <c r="L1763" i="35"/>
  <c r="L1764" s="1"/>
  <c r="G1817" s="1"/>
  <c r="CR1763"/>
  <c r="A1725"/>
  <c r="A1763" s="1"/>
  <c r="A1722" s="1"/>
  <c r="A48" i="36"/>
  <c r="A7" s="1"/>
  <c r="AY48"/>
  <c r="Z65" s="1"/>
  <c r="AQ48"/>
  <c r="AO48"/>
  <c r="GL48"/>
  <c r="GB48"/>
  <c r="FX48"/>
  <c r="FV48"/>
  <c r="EW48"/>
  <c r="K85" s="1"/>
  <c r="I65"/>
  <c r="BA48"/>
  <c r="AU48"/>
  <c r="J66" s="1"/>
  <c r="BU48"/>
  <c r="K62" s="1"/>
  <c r="FR48"/>
  <c r="GM48"/>
  <c r="FT1763" i="35"/>
  <c r="GB1763"/>
  <c r="GC1763"/>
  <c r="GG1763"/>
  <c r="GJ1763"/>
  <c r="CZ1763"/>
  <c r="AC1812" s="1"/>
  <c r="FO48" i="36"/>
  <c r="I87" s="1"/>
  <c r="CU48"/>
  <c r="CS48"/>
  <c r="CZ48"/>
  <c r="CY48"/>
  <c r="CX48"/>
  <c r="CW48"/>
  <c r="CV48"/>
  <c r="AW48"/>
  <c r="L66" s="1"/>
  <c r="AS48"/>
  <c r="BV48"/>
  <c r="CS1763" i="35"/>
  <c r="CT1763"/>
  <c r="CU1763"/>
  <c r="GD1763"/>
  <c r="GF1763"/>
  <c r="GH1763"/>
  <c r="FP48" i="36"/>
  <c r="FM48"/>
  <c r="L88" s="1"/>
  <c r="FC48"/>
  <c r="L86" s="1"/>
  <c r="FA48"/>
  <c r="J86" s="1"/>
  <c r="EY48"/>
  <c r="CX1763" i="35"/>
  <c r="AA1812" s="1"/>
  <c r="CV1763"/>
  <c r="Y1812" s="1"/>
  <c r="BV1763"/>
  <c r="BU1763"/>
  <c r="K1777" s="1"/>
  <c r="BT1763"/>
  <c r="BR1763"/>
  <c r="H1777" s="1"/>
  <c r="GK48" i="36"/>
  <c r="GI48"/>
  <c r="GC48"/>
  <c r="GA48"/>
  <c r="FY48"/>
  <c r="FW48"/>
  <c r="FU48"/>
  <c r="FS48"/>
  <c r="FG48"/>
  <c r="K89" s="1"/>
  <c r="FE48"/>
  <c r="BT48"/>
  <c r="AA62" s="1"/>
  <c r="BS48"/>
  <c r="I62" s="1"/>
  <c r="BR48"/>
  <c r="Y62" s="1"/>
  <c r="FU1763" i="35"/>
  <c r="FV1763"/>
  <c r="FW1763"/>
  <c r="FY1763"/>
  <c r="FZ1763"/>
  <c r="GK1763"/>
  <c r="GL1763"/>
  <c r="H66" i="36"/>
  <c r="Y66"/>
  <c r="L62"/>
  <c r="AC62"/>
  <c r="H62"/>
  <c r="L1777" i="35"/>
  <c r="AC1777"/>
  <c r="J1777"/>
  <c r="AA1777"/>
  <c r="Y1777"/>
  <c r="J62" i="36"/>
  <c r="FF48"/>
  <c r="FD48"/>
  <c r="FK48"/>
  <c r="AA88" s="1"/>
  <c r="FI48"/>
  <c r="H88" s="1"/>
  <c r="FQ48"/>
  <c r="K87" s="1"/>
  <c r="FB48"/>
  <c r="EZ48"/>
  <c r="EX48"/>
  <c r="EU48"/>
  <c r="Z85" s="1"/>
  <c r="AX48"/>
  <c r="Y65" s="1"/>
  <c r="FH48"/>
  <c r="EV48"/>
  <c r="ET48"/>
  <c r="CW1763" i="35"/>
  <c r="FL48" i="36"/>
  <c r="FJ48"/>
  <c r="FN48"/>
  <c r="H92"/>
  <c r="EX1763" i="35"/>
  <c r="EW1763"/>
  <c r="EV1763"/>
  <c r="EU1763"/>
  <c r="ET1763"/>
  <c r="FC1763"/>
  <c r="FB1763"/>
  <c r="FA1763"/>
  <c r="EZ1763"/>
  <c r="EY1763"/>
  <c r="FR1763"/>
  <c r="FQ1763"/>
  <c r="FP1763"/>
  <c r="FO1763"/>
  <c r="FN1763"/>
  <c r="FM1763"/>
  <c r="FL1763"/>
  <c r="FK1763"/>
  <c r="FJ1763"/>
  <c r="FI1763"/>
  <c r="FH1763"/>
  <c r="FG1763"/>
  <c r="FF1763"/>
  <c r="FE1763"/>
  <c r="FD1763"/>
  <c r="I89" i="36"/>
  <c r="Z89"/>
  <c r="AB87"/>
  <c r="H86"/>
  <c r="Y86"/>
  <c r="H65"/>
  <c r="J88"/>
  <c r="I85"/>
  <c r="H67"/>
  <c r="AV48"/>
  <c r="AT48"/>
  <c r="AD1763" i="35"/>
  <c r="AO1763"/>
  <c r="CJ1763"/>
  <c r="CQ1763"/>
  <c r="FS1763"/>
  <c r="FX1763"/>
  <c r="GA1763"/>
  <c r="GE1763"/>
  <c r="GI1763"/>
  <c r="GR1763"/>
  <c r="AB89" i="36"/>
  <c r="Y88"/>
  <c r="Z87"/>
  <c r="AA86"/>
  <c r="AB85"/>
  <c r="H1812" i="35"/>
  <c r="CY1763"/>
  <c r="BS1763"/>
  <c r="K66" i="36"/>
  <c r="AB66"/>
  <c r="I66"/>
  <c r="I67" s="1"/>
  <c r="Z66"/>
  <c r="BB48"/>
  <c r="AZ48"/>
  <c r="BG48"/>
  <c r="K65"/>
  <c r="K67" s="1"/>
  <c r="AB65"/>
  <c r="K60"/>
  <c r="L59"/>
  <c r="AC66"/>
  <c r="AA66"/>
  <c r="AP1763" i="35"/>
  <c r="CG1763"/>
  <c r="GN1763"/>
  <c r="J65" i="36"/>
  <c r="J67" s="1"/>
  <c r="AA65"/>
  <c r="L65"/>
  <c r="L67" s="1"/>
  <c r="AC65"/>
  <c r="CH48"/>
  <c r="EE48"/>
  <c r="H79" s="1"/>
  <c r="AG48"/>
  <c r="BE48"/>
  <c r="BH48"/>
  <c r="Y70" s="1"/>
  <c r="GX1763" i="35"/>
  <c r="GY1763"/>
  <c r="HG1763"/>
  <c r="HJ1763"/>
  <c r="BA1763"/>
  <c r="AB1780" s="1"/>
  <c r="BK1763"/>
  <c r="AB1785" s="1"/>
  <c r="BH1763"/>
  <c r="Y1785" s="1"/>
  <c r="DJ1763"/>
  <c r="AC1789" s="1"/>
  <c r="CD1763"/>
  <c r="J1808" s="1"/>
  <c r="Y79" i="36"/>
  <c r="BC48"/>
  <c r="EJ48"/>
  <c r="Y80" s="1"/>
  <c r="AC1763" i="35"/>
  <c r="X1763"/>
  <c r="AL1763"/>
  <c r="GX48" i="36"/>
  <c r="HJ48"/>
  <c r="BF48"/>
  <c r="BD48"/>
  <c r="BM48"/>
  <c r="AF1763" i="35"/>
  <c r="AG1763"/>
  <c r="AN1763"/>
  <c r="CI1763"/>
  <c r="CK1763"/>
  <c r="GM1763"/>
  <c r="GT1763"/>
  <c r="GU1763"/>
  <c r="GW1763"/>
  <c r="HI1763"/>
  <c r="HK1763"/>
  <c r="AV1763"/>
  <c r="BL1763"/>
  <c r="AC1785" s="1"/>
  <c r="BQ1763"/>
  <c r="BM1763"/>
  <c r="DO1763"/>
  <c r="CN1763"/>
  <c r="L60" i="36"/>
  <c r="AA60"/>
  <c r="H60"/>
  <c r="AA57"/>
  <c r="I57"/>
  <c r="M57" s="1"/>
  <c r="CJ48"/>
  <c r="L61"/>
  <c r="L63" s="1"/>
  <c r="AE48"/>
  <c r="GU48"/>
  <c r="GT48"/>
  <c r="GS48"/>
  <c r="EG48"/>
  <c r="EP48"/>
  <c r="EK48"/>
  <c r="EF48"/>
  <c r="Z79" s="1"/>
  <c r="EO48"/>
  <c r="BL48"/>
  <c r="L70" s="1"/>
  <c r="BK48"/>
  <c r="BJ48"/>
  <c r="J70" s="1"/>
  <c r="BO48"/>
  <c r="BN48"/>
  <c r="AR1763" i="35"/>
  <c r="BC1763"/>
  <c r="BD1763"/>
  <c r="BF1763"/>
  <c r="BG1763"/>
  <c r="GO1763"/>
  <c r="GP1763"/>
  <c r="GQ1763"/>
  <c r="HA1763"/>
  <c r="HB1763"/>
  <c r="HC1763"/>
  <c r="HE1763"/>
  <c r="HF1763"/>
  <c r="AT1763"/>
  <c r="I1781" s="1"/>
  <c r="AY1763"/>
  <c r="Z1780" s="1"/>
  <c r="AS1763"/>
  <c r="H1781" s="1"/>
  <c r="BJ1763"/>
  <c r="AA1785" s="1"/>
  <c r="BO1763"/>
  <c r="AA1784" s="1"/>
  <c r="BI1763"/>
  <c r="Z1785" s="1"/>
  <c r="DE1763"/>
  <c r="AC1788" s="1"/>
  <c r="DN1763"/>
  <c r="DI1763"/>
  <c r="AB1789" s="1"/>
  <c r="CP1763"/>
  <c r="CF1763"/>
  <c r="AC1808" s="1"/>
  <c r="CA1763"/>
  <c r="L1807" s="1"/>
  <c r="CO1763"/>
  <c r="K1810" s="1"/>
  <c r="BY1763"/>
  <c r="AA1807" s="1"/>
  <c r="CM1763"/>
  <c r="I1810" s="1"/>
  <c r="Y1763"/>
  <c r="Y1773" s="1"/>
  <c r="T1763"/>
  <c r="Y1772" s="1"/>
  <c r="CB1763"/>
  <c r="H1808" s="1"/>
  <c r="BW1763"/>
  <c r="H1807" s="1"/>
  <c r="AA1763"/>
  <c r="V1763"/>
  <c r="AA1772" s="1"/>
  <c r="AJ1763"/>
  <c r="J79" i="36"/>
  <c r="AA79"/>
  <c r="I80"/>
  <c r="Z80"/>
  <c r="AB70"/>
  <c r="K70"/>
  <c r="Z1810" i="35"/>
  <c r="L1772"/>
  <c r="AC1772"/>
  <c r="H1773"/>
  <c r="Y1808"/>
  <c r="AD57" i="36"/>
  <c r="GW48"/>
  <c r="HF48"/>
  <c r="HE48"/>
  <c r="HD48"/>
  <c r="HC48"/>
  <c r="HB48"/>
  <c r="HK48"/>
  <c r="K1780" i="35"/>
  <c r="L1789"/>
  <c r="J59" i="36"/>
  <c r="J61" s="1"/>
  <c r="J63" s="1"/>
  <c r="H80"/>
  <c r="Y69"/>
  <c r="H69"/>
  <c r="AA70"/>
  <c r="AB1781" i="35"/>
  <c r="AB1782" s="1"/>
  <c r="K1781"/>
  <c r="Y1781"/>
  <c r="AC1784"/>
  <c r="L1784"/>
  <c r="Y1807"/>
  <c r="K1775"/>
  <c r="AB1775"/>
  <c r="I1775"/>
  <c r="Z1775"/>
  <c r="AC70" i="36"/>
  <c r="Z1781" i="35"/>
  <c r="Z1782" s="1"/>
  <c r="Y1784"/>
  <c r="H1784"/>
  <c r="AC1807"/>
  <c r="AC1809" s="1"/>
  <c r="AB1810"/>
  <c r="J1807"/>
  <c r="L1773"/>
  <c r="AC1773"/>
  <c r="J1773"/>
  <c r="AA1773"/>
  <c r="AB59" i="36"/>
  <c r="AB61" s="1"/>
  <c r="H59"/>
  <c r="HA48"/>
  <c r="GZ48"/>
  <c r="GY48"/>
  <c r="HI48"/>
  <c r="HH48"/>
  <c r="HG48"/>
  <c r="GQ48"/>
  <c r="GP48"/>
  <c r="GO48"/>
  <c r="GN48"/>
  <c r="M67"/>
  <c r="H70"/>
  <c r="H71" s="1"/>
  <c r="J1784" i="35"/>
  <c r="M60" i="36"/>
  <c r="H52" i="7" s="1"/>
  <c r="Z59" i="36"/>
  <c r="CI48"/>
  <c r="AH48"/>
  <c r="AD48"/>
  <c r="AE1763" i="35"/>
  <c r="AH1763"/>
  <c r="AQ1763"/>
  <c r="BE1763"/>
  <c r="CH1763"/>
  <c r="GS1763"/>
  <c r="GV1763"/>
  <c r="GZ1763"/>
  <c r="HD1763"/>
  <c r="I1780"/>
  <c r="AW1763"/>
  <c r="L1781" s="1"/>
  <c r="BB1763"/>
  <c r="AU1763"/>
  <c r="J1781" s="1"/>
  <c r="AZ1763"/>
  <c r="L1785"/>
  <c r="K1785"/>
  <c r="BP1763"/>
  <c r="K1784" s="1"/>
  <c r="L1788"/>
  <c r="DS1763"/>
  <c r="K1791" s="1"/>
  <c r="EB1763"/>
  <c r="DW1763"/>
  <c r="J1792" s="1"/>
  <c r="DR1763"/>
  <c r="EA1763"/>
  <c r="DV1763"/>
  <c r="DQ1763"/>
  <c r="I1791" s="1"/>
  <c r="DZ1763"/>
  <c r="DU1763"/>
  <c r="H1792" s="1"/>
  <c r="AM1763"/>
  <c r="AK1763"/>
  <c r="I59" i="36"/>
  <c r="I61" s="1"/>
  <c r="K59"/>
  <c r="K61" s="1"/>
  <c r="H61"/>
  <c r="H63" s="1"/>
  <c r="H81" i="35"/>
  <c r="Z61" i="36"/>
  <c r="M58"/>
  <c r="AD60"/>
  <c r="AC58"/>
  <c r="AC59" s="1"/>
  <c r="AC61" s="1"/>
  <c r="AC63" s="1"/>
  <c r="AA58"/>
  <c r="AA59" s="1"/>
  <c r="AA61" s="1"/>
  <c r="Y58"/>
  <c r="BI48"/>
  <c r="BQ48"/>
  <c r="L69" s="1"/>
  <c r="BP48"/>
  <c r="AX1763" i="35"/>
  <c r="H1780" s="1"/>
  <c r="J1785"/>
  <c r="I1785"/>
  <c r="BN1763"/>
  <c r="DD1763"/>
  <c r="K1788" s="1"/>
  <c r="DM1763"/>
  <c r="DH1763"/>
  <c r="J1789" s="1"/>
  <c r="DC1763"/>
  <c r="DL1763"/>
  <c r="DG1763"/>
  <c r="DB1763"/>
  <c r="I1788" s="1"/>
  <c r="DK1763"/>
  <c r="DF1763"/>
  <c r="H1789" s="1"/>
  <c r="DA1763"/>
  <c r="ED1763"/>
  <c r="DY1763"/>
  <c r="DT1763"/>
  <c r="AC1791" s="1"/>
  <c r="EC1763"/>
  <c r="DX1763"/>
  <c r="AB1792" s="1"/>
  <c r="CE1763"/>
  <c r="BZ1763"/>
  <c r="K1807" s="1"/>
  <c r="CC1763"/>
  <c r="Z1808" s="1"/>
  <c r="BX1763"/>
  <c r="AI1763"/>
  <c r="CK48" i="36"/>
  <c r="CG48"/>
  <c r="AF48"/>
  <c r="GV48"/>
  <c r="GR48"/>
  <c r="DO48"/>
  <c r="DJ48"/>
  <c r="AC74" s="1"/>
  <c r="DE48"/>
  <c r="AC73" s="1"/>
  <c r="DN48"/>
  <c r="DI48"/>
  <c r="AB74" s="1"/>
  <c r="DD48"/>
  <c r="AB73" s="1"/>
  <c r="DM48"/>
  <c r="DH48"/>
  <c r="AA74" s="1"/>
  <c r="DC48"/>
  <c r="AA73" s="1"/>
  <c r="DL48"/>
  <c r="DG48"/>
  <c r="Z74" s="1"/>
  <c r="DB48"/>
  <c r="Z73" s="1"/>
  <c r="DK48"/>
  <c r="DF48"/>
  <c r="Y74" s="1"/>
  <c r="DA48"/>
  <c r="Y73" s="1"/>
  <c r="ED48"/>
  <c r="DY48"/>
  <c r="AC77" s="1"/>
  <c r="DT48"/>
  <c r="AC76" s="1"/>
  <c r="EC48"/>
  <c r="DX48"/>
  <c r="AB77" s="1"/>
  <c r="DS48"/>
  <c r="AB76" s="1"/>
  <c r="EB48"/>
  <c r="DW48"/>
  <c r="AA77" s="1"/>
  <c r="DR48"/>
  <c r="AA76" s="1"/>
  <c r="EA48"/>
  <c r="DV48"/>
  <c r="Z77" s="1"/>
  <c r="DQ48"/>
  <c r="Z76" s="1"/>
  <c r="DZ48"/>
  <c r="DU48"/>
  <c r="Y77" s="1"/>
  <c r="DP48"/>
  <c r="Y76" s="1"/>
  <c r="ES48"/>
  <c r="EN48"/>
  <c r="AC80" s="1"/>
  <c r="EI48"/>
  <c r="AC79" s="1"/>
  <c r="ER48"/>
  <c r="EM48"/>
  <c r="AB80" s="1"/>
  <c r="EH48"/>
  <c r="AB79" s="1"/>
  <c r="EQ48"/>
  <c r="EL48"/>
  <c r="AA80" s="1"/>
  <c r="HH1763" i="35"/>
  <c r="ES1763"/>
  <c r="EN1763"/>
  <c r="AC1795" s="1"/>
  <c r="EI1763"/>
  <c r="ER1763"/>
  <c r="EM1763"/>
  <c r="AB1795" s="1"/>
  <c r="EH1763"/>
  <c r="AB1794" s="1"/>
  <c r="EQ1763"/>
  <c r="EL1763"/>
  <c r="AA1795" s="1"/>
  <c r="EG1763"/>
  <c r="AA1794" s="1"/>
  <c r="EP1763"/>
  <c r="EK1763"/>
  <c r="Z1795" s="1"/>
  <c r="EF1763"/>
  <c r="Z1794" s="1"/>
  <c r="EO1763"/>
  <c r="EJ1763"/>
  <c r="Y1795" s="1"/>
  <c r="EE1763"/>
  <c r="Y1794" s="1"/>
  <c r="CL1763"/>
  <c r="Y1810" s="1"/>
  <c r="AB1763"/>
  <c r="W1763"/>
  <c r="Z1763"/>
  <c r="U1763"/>
  <c r="F108" i="15"/>
  <c r="J1564" i="35"/>
  <c r="J1619" s="1"/>
  <c r="J1636" s="1"/>
  <c r="G1552"/>
  <c r="J123" i="15"/>
  <c r="J140" s="1"/>
  <c r="J142" s="1"/>
  <c r="J144" s="1"/>
  <c r="G123"/>
  <c r="H403" i="35" s="1"/>
  <c r="S393" s="1"/>
  <c r="S123" i="15"/>
  <c r="S1519" i="35"/>
  <c r="A1511"/>
  <c r="K66" i="8"/>
  <c r="K1954" i="35" s="1"/>
  <c r="H101" i="8"/>
  <c r="H1989" i="35" s="1"/>
  <c r="C136" i="8"/>
  <c r="H66"/>
  <c r="H1954" i="35" s="1"/>
  <c r="J66" i="8"/>
  <c r="J1954" i="35" s="1"/>
  <c r="B101" i="8"/>
  <c r="B1989" i="35" s="1"/>
  <c r="F101" i="8"/>
  <c r="F1989" i="35" s="1"/>
  <c r="E136" i="8"/>
  <c r="C101"/>
  <c r="C1989" i="35" s="1"/>
  <c r="E101" i="8"/>
  <c r="E1989" i="35" s="1"/>
  <c r="G101" i="8"/>
  <c r="G1989" i="35" s="1"/>
  <c r="I101" i="8"/>
  <c r="I1989" i="35" s="1"/>
  <c r="J101" i="8"/>
  <c r="J1989" i="35" s="1"/>
  <c r="K101" i="8"/>
  <c r="K1989" i="35" s="1"/>
  <c r="B136" i="8"/>
  <c r="B2024" i="35" s="1"/>
  <c r="D136" i="8"/>
  <c r="D2024" i="35" s="1"/>
  <c r="F136" i="8"/>
  <c r="F2024" i="35" s="1"/>
  <c r="B46" i="8"/>
  <c r="B1934" i="35" s="1"/>
  <c r="C2024"/>
  <c r="E2024"/>
  <c r="F25" i="8"/>
  <c r="F38" s="1"/>
  <c r="K60"/>
  <c r="B25"/>
  <c r="B42" s="1"/>
  <c r="B1930" i="35" s="1"/>
  <c r="H25" i="8"/>
  <c r="H1913" i="35" s="1"/>
  <c r="C25" i="8"/>
  <c r="F60"/>
  <c r="H95"/>
  <c r="H1983" i="35" s="1"/>
  <c r="K25" i="8"/>
  <c r="I25"/>
  <c r="I38" s="1"/>
  <c r="G25"/>
  <c r="E25"/>
  <c r="E38" s="1"/>
  <c r="D25"/>
  <c r="D1913" i="35" s="1"/>
  <c r="D1924" s="1"/>
  <c r="B60" i="8"/>
  <c r="B74" s="1"/>
  <c r="D60"/>
  <c r="I60"/>
  <c r="D95"/>
  <c r="D1983" i="35" s="1"/>
  <c r="D130" i="8"/>
  <c r="H1927" i="35"/>
  <c r="E60" i="8"/>
  <c r="G60"/>
  <c r="H60"/>
  <c r="J60"/>
  <c r="J1948" i="35" s="1"/>
  <c r="C95" i="8"/>
  <c r="G95"/>
  <c r="K95"/>
  <c r="E130"/>
  <c r="E2018" i="35" s="1"/>
  <c r="D1926"/>
  <c r="D1925"/>
  <c r="J1913"/>
  <c r="J1926" s="1"/>
  <c r="B1948"/>
  <c r="F1948"/>
  <c r="B95" i="8"/>
  <c r="E95"/>
  <c r="F95"/>
  <c r="I95"/>
  <c r="J95"/>
  <c r="B130"/>
  <c r="C130"/>
  <c r="F130"/>
  <c r="F143" s="1"/>
  <c r="J1925" i="35"/>
  <c r="H38" i="8"/>
  <c r="D38"/>
  <c r="E128"/>
  <c r="F139"/>
  <c r="J39"/>
  <c r="H39"/>
  <c r="F39"/>
  <c r="D39"/>
  <c r="K38"/>
  <c r="G38"/>
  <c r="C38"/>
  <c r="H37"/>
  <c r="F37"/>
  <c r="D37"/>
  <c r="B73"/>
  <c r="P6" i="36"/>
  <c r="Q14" s="1"/>
  <c r="Q1729" i="35" s="1"/>
  <c r="L87" i="36"/>
  <c r="AC87"/>
  <c r="H87"/>
  <c r="Y87"/>
  <c r="I86"/>
  <c r="Z86"/>
  <c r="J85"/>
  <c r="AA85"/>
  <c r="L89"/>
  <c r="AC89"/>
  <c r="H89"/>
  <c r="Y89"/>
  <c r="I88"/>
  <c r="Z88"/>
  <c r="J87"/>
  <c r="AA87"/>
  <c r="K86"/>
  <c r="AB86"/>
  <c r="M86"/>
  <c r="L85"/>
  <c r="AC85"/>
  <c r="H85"/>
  <c r="Y85"/>
  <c r="J89"/>
  <c r="AA89"/>
  <c r="K88"/>
  <c r="AB88"/>
  <c r="AC88"/>
  <c r="AC86"/>
  <c r="B37" i="8"/>
  <c r="B70"/>
  <c r="B72"/>
  <c r="L74" i="36"/>
  <c r="L73"/>
  <c r="K74"/>
  <c r="K73"/>
  <c r="J74"/>
  <c r="J73"/>
  <c r="I74"/>
  <c r="I73"/>
  <c r="H74"/>
  <c r="M74" s="1"/>
  <c r="H73"/>
  <c r="M73" s="1"/>
  <c r="L77"/>
  <c r="L76"/>
  <c r="K77"/>
  <c r="K76"/>
  <c r="J76"/>
  <c r="I77"/>
  <c r="I76"/>
  <c r="H76"/>
  <c r="L80"/>
  <c r="L79"/>
  <c r="K79"/>
  <c r="J80"/>
  <c r="M66"/>
  <c r="L48"/>
  <c r="L49" s="1"/>
  <c r="M65"/>
  <c r="Z70"/>
  <c r="AD70" s="1"/>
  <c r="I70"/>
  <c r="AC69"/>
  <c r="AC71" s="1"/>
  <c r="AB69"/>
  <c r="AB71" s="1"/>
  <c r="K69"/>
  <c r="K71" s="1"/>
  <c r="AA69"/>
  <c r="AA71" s="1"/>
  <c r="J69"/>
  <c r="Z69"/>
  <c r="I69"/>
  <c r="AC1781" i="35"/>
  <c r="AC1780"/>
  <c r="L1780"/>
  <c r="AA1781"/>
  <c r="AA1780"/>
  <c r="J1780"/>
  <c r="AC1786"/>
  <c r="AB1784"/>
  <c r="AB1786" s="1"/>
  <c r="AC1790"/>
  <c r="Y71" i="36"/>
  <c r="P142" i="15"/>
  <c r="P144" s="1"/>
  <c r="Y1780" i="35"/>
  <c r="Z1784"/>
  <c r="Z1786" s="1"/>
  <c r="I1784"/>
  <c r="AB1788"/>
  <c r="AB1790" s="1"/>
  <c r="AA1789"/>
  <c r="AA1788"/>
  <c r="J1788"/>
  <c r="Z1789"/>
  <c r="I1789"/>
  <c r="Z1788"/>
  <c r="Y1789"/>
  <c r="Y1788"/>
  <c r="H1788"/>
  <c r="L1792"/>
  <c r="AC1792"/>
  <c r="L1791"/>
  <c r="K1792"/>
  <c r="AB1791"/>
  <c r="AA1792"/>
  <c r="AA1791"/>
  <c r="J1791"/>
  <c r="Z1792"/>
  <c r="I1792"/>
  <c r="Z1791"/>
  <c r="Y1792"/>
  <c r="P175" i="11"/>
  <c r="P294" s="1"/>
  <c r="P6" s="1"/>
  <c r="CP48" i="36"/>
  <c r="L95" s="1"/>
  <c r="CN48"/>
  <c r="J95" s="1"/>
  <c r="CL48"/>
  <c r="H95" s="1"/>
  <c r="CA48"/>
  <c r="AC92" s="1"/>
  <c r="BZ48"/>
  <c r="K92" s="1"/>
  <c r="BY48"/>
  <c r="J92" s="1"/>
  <c r="BX48"/>
  <c r="I92" s="1"/>
  <c r="L1790" i="35"/>
  <c r="L1795"/>
  <c r="K1794"/>
  <c r="J1795"/>
  <c r="I1795"/>
  <c r="I1794"/>
  <c r="H1795"/>
  <c r="H1794"/>
  <c r="AC1800"/>
  <c r="L1800"/>
  <c r="K1800"/>
  <c r="AB1800"/>
  <c r="AA1800"/>
  <c r="J1800"/>
  <c r="I1800"/>
  <c r="Z1800"/>
  <c r="Y1800"/>
  <c r="H1800"/>
  <c r="AC1801"/>
  <c r="L1801"/>
  <c r="K1801"/>
  <c r="AB1801"/>
  <c r="AA1801"/>
  <c r="J1801"/>
  <c r="I1801"/>
  <c r="Z1801"/>
  <c r="Y1801"/>
  <c r="H1801"/>
  <c r="AC1802"/>
  <c r="L1802"/>
  <c r="K1802"/>
  <c r="AB1802"/>
  <c r="AA1802"/>
  <c r="J1802"/>
  <c r="I1802"/>
  <c r="Z1802"/>
  <c r="Y1802"/>
  <c r="H1802"/>
  <c r="AC1803"/>
  <c r="L1803"/>
  <c r="K1803"/>
  <c r="AB1803"/>
  <c r="AA1803"/>
  <c r="J1803"/>
  <c r="I1803"/>
  <c r="Z1803"/>
  <c r="Y1803"/>
  <c r="H1803"/>
  <c r="AC1804"/>
  <c r="L1804"/>
  <c r="K1804"/>
  <c r="AB1804"/>
  <c r="AA1804"/>
  <c r="J1804"/>
  <c r="I1804"/>
  <c r="Z1804"/>
  <c r="Y1804"/>
  <c r="H1804"/>
  <c r="L1810"/>
  <c r="AC1810"/>
  <c r="AB1812"/>
  <c r="K1812"/>
  <c r="J1810"/>
  <c r="AA1810"/>
  <c r="Z1812"/>
  <c r="I1812"/>
  <c r="H1810"/>
  <c r="L1774"/>
  <c r="CO48" i="36"/>
  <c r="AB95" s="1"/>
  <c r="CM48"/>
  <c r="I95" s="1"/>
  <c r="CF48"/>
  <c r="AC93" s="1"/>
  <c r="CE48"/>
  <c r="K93" s="1"/>
  <c r="CD48"/>
  <c r="AA93" s="1"/>
  <c r="CC48"/>
  <c r="I93" s="1"/>
  <c r="CB48"/>
  <c r="Y93" s="1"/>
  <c r="C109" i="15"/>
  <c r="O175" i="11"/>
  <c r="O294" s="1"/>
  <c r="O6" s="1"/>
  <c r="DP1763" i="35"/>
  <c r="J1794"/>
  <c r="AB1808"/>
  <c r="K1808"/>
  <c r="AB1807"/>
  <c r="I1808"/>
  <c r="I1807"/>
  <c r="Z1807"/>
  <c r="Y1809"/>
  <c r="B1936"/>
  <c r="K1909"/>
  <c r="K1903"/>
  <c r="K1902"/>
  <c r="K1907"/>
  <c r="L1812"/>
  <c r="L1808"/>
  <c r="G1903"/>
  <c r="G1904" s="1"/>
  <c r="H1903"/>
  <c r="I1903"/>
  <c r="I1904" s="1"/>
  <c r="J1903"/>
  <c r="H1907"/>
  <c r="J1907"/>
  <c r="G1909"/>
  <c r="I1909"/>
  <c r="H1902"/>
  <c r="J1902"/>
  <c r="J154" i="15"/>
  <c r="J155" s="1"/>
  <c r="J157" s="1"/>
  <c r="J159" s="1"/>
  <c r="J1651" i="35"/>
  <c r="J1653" s="1"/>
  <c r="A1512"/>
  <c r="U1512"/>
  <c r="A1510"/>
  <c r="U1510"/>
  <c r="G1513"/>
  <c r="M1619"/>
  <c r="M1636" s="1"/>
  <c r="M1638" s="1"/>
  <c r="M1640" s="1"/>
  <c r="B1535"/>
  <c r="S1619"/>
  <c r="C1958"/>
  <c r="C1957"/>
  <c r="E1958"/>
  <c r="E1957"/>
  <c r="G1958"/>
  <c r="G1957"/>
  <c r="I1958"/>
  <c r="I1957"/>
  <c r="K1958"/>
  <c r="K1957"/>
  <c r="A1593"/>
  <c r="U1599"/>
  <c r="U1612"/>
  <c r="A1616"/>
  <c r="G1519"/>
  <c r="U1563"/>
  <c r="A1563"/>
  <c r="G1564"/>
  <c r="G1579"/>
  <c r="G1594"/>
  <c r="U1592"/>
  <c r="A1592"/>
  <c r="J1633"/>
  <c r="J1637" s="1"/>
  <c r="B41" i="8"/>
  <c r="AA92" i="36"/>
  <c r="F142" i="8" l="1"/>
  <c r="F1913" i="35"/>
  <c r="F1924" s="1"/>
  <c r="P1638"/>
  <c r="P1640" s="1"/>
  <c r="J1655"/>
  <c r="D105" i="8"/>
  <c r="D104"/>
  <c r="H35"/>
  <c r="J70"/>
  <c r="J69"/>
  <c r="H105"/>
  <c r="H104"/>
  <c r="F104"/>
  <c r="F105"/>
  <c r="J38"/>
  <c r="J34"/>
  <c r="B34"/>
  <c r="B35"/>
  <c r="K104"/>
  <c r="K105"/>
  <c r="B105"/>
  <c r="B104"/>
  <c r="J37"/>
  <c r="B38"/>
  <c r="C140"/>
  <c r="G105"/>
  <c r="G104"/>
  <c r="C105"/>
  <c r="C104"/>
  <c r="I70"/>
  <c r="I69"/>
  <c r="E70"/>
  <c r="E69"/>
  <c r="K35"/>
  <c r="K34"/>
  <c r="G35"/>
  <c r="G34"/>
  <c r="C35"/>
  <c r="C34"/>
  <c r="I105"/>
  <c r="I104"/>
  <c r="E105"/>
  <c r="E104"/>
  <c r="K70"/>
  <c r="K69"/>
  <c r="G70"/>
  <c r="G69"/>
  <c r="C73"/>
  <c r="C72"/>
  <c r="C74"/>
  <c r="C70"/>
  <c r="C69"/>
  <c r="I35"/>
  <c r="I34"/>
  <c r="E35"/>
  <c r="E34"/>
  <c r="J105"/>
  <c r="J104"/>
  <c r="F1925" i="35"/>
  <c r="F1926"/>
  <c r="Q11" i="36"/>
  <c r="Q1726" i="35" s="1"/>
  <c r="Q13" i="36"/>
  <c r="Q1728" i="35" s="1"/>
  <c r="Q15" i="36"/>
  <c r="Q1730" i="35" s="1"/>
  <c r="D140" i="8"/>
  <c r="Q10" i="36"/>
  <c r="Q1725" i="35" s="1"/>
  <c r="Q12" i="36"/>
  <c r="Q1727" i="35" s="1"/>
  <c r="B1910"/>
  <c r="B140" i="8"/>
  <c r="H1953" i="35"/>
  <c r="I65" i="8"/>
  <c r="Y81" i="36"/>
  <c r="H81"/>
  <c r="I79"/>
  <c r="I81" s="1"/>
  <c r="AD85"/>
  <c r="M88"/>
  <c r="H1785" i="35"/>
  <c r="H1786" s="1"/>
  <c r="AA1808"/>
  <c r="AA1809" s="1"/>
  <c r="AA1811" s="1"/>
  <c r="AA1813" s="1"/>
  <c r="M76" i="36"/>
  <c r="AA95"/>
  <c r="K80"/>
  <c r="M80" s="1"/>
  <c r="H77"/>
  <c r="J77"/>
  <c r="L1786" i="35"/>
  <c r="Y67" i="36"/>
  <c r="AB1777" i="35"/>
  <c r="AD1785"/>
  <c r="Y1786"/>
  <c r="AD66" i="36"/>
  <c r="AB67"/>
  <c r="Z62"/>
  <c r="Z63" s="1"/>
  <c r="K1786" i="35"/>
  <c r="Z67" i="36"/>
  <c r="AB62"/>
  <c r="AA63"/>
  <c r="AB63"/>
  <c r="K63"/>
  <c r="I63"/>
  <c r="M63" s="1"/>
  <c r="L1809" i="35"/>
  <c r="J1809"/>
  <c r="J1811" s="1"/>
  <c r="J1812"/>
  <c r="AD1812"/>
  <c r="AA67" i="36"/>
  <c r="H97"/>
  <c r="Y97"/>
  <c r="J97"/>
  <c r="AA97"/>
  <c r="L97"/>
  <c r="AC97"/>
  <c r="I97"/>
  <c r="Z97"/>
  <c r="K97"/>
  <c r="AB97"/>
  <c r="L92"/>
  <c r="K95"/>
  <c r="J93"/>
  <c r="J94" s="1"/>
  <c r="J96" s="1"/>
  <c r="J98" s="1"/>
  <c r="AD62"/>
  <c r="M62"/>
  <c r="M1804" i="35"/>
  <c r="M1803"/>
  <c r="M1802"/>
  <c r="M1801"/>
  <c r="M1800"/>
  <c r="AD1781"/>
  <c r="AC1782"/>
  <c r="I71" i="36"/>
  <c r="L81"/>
  <c r="I78"/>
  <c r="J78"/>
  <c r="K78"/>
  <c r="L78"/>
  <c r="I75"/>
  <c r="J75"/>
  <c r="L75"/>
  <c r="M85"/>
  <c r="Q85" s="1"/>
  <c r="I1777" i="35"/>
  <c r="M1777" s="1"/>
  <c r="Z1777"/>
  <c r="AD1777" s="1"/>
  <c r="AA1786"/>
  <c r="AD1807"/>
  <c r="AD1808"/>
  <c r="AD65" i="36"/>
  <c r="Q65" s="1"/>
  <c r="AC67"/>
  <c r="H93"/>
  <c r="L93"/>
  <c r="L1811" i="35"/>
  <c r="AA1782"/>
  <c r="Z71" i="36"/>
  <c r="AD71" s="1"/>
  <c r="K1795" i="35"/>
  <c r="M1795" s="1"/>
  <c r="J1782"/>
  <c r="L1782"/>
  <c r="M61" i="36"/>
  <c r="P170" i="35" s="1"/>
  <c r="Z93" i="36"/>
  <c r="AB93"/>
  <c r="Z95"/>
  <c r="Z92"/>
  <c r="AA94"/>
  <c r="AA96" s="1"/>
  <c r="AB92"/>
  <c r="AC94"/>
  <c r="Y95"/>
  <c r="AC95"/>
  <c r="J1796" i="35"/>
  <c r="AA1796"/>
  <c r="AB1796"/>
  <c r="AC1774"/>
  <c r="H1772"/>
  <c r="H1774" s="1"/>
  <c r="K1782"/>
  <c r="K75" i="36"/>
  <c r="J1772" i="35"/>
  <c r="J1774" s="1"/>
  <c r="M77" i="36"/>
  <c r="AD1810" i="35"/>
  <c r="AC81" i="36"/>
  <c r="AD77"/>
  <c r="Z78"/>
  <c r="AB78"/>
  <c r="AD73"/>
  <c r="Q73" s="1"/>
  <c r="AA75"/>
  <c r="AC75"/>
  <c r="AC1811" i="35"/>
  <c r="AC1813" s="1"/>
  <c r="AA1774"/>
  <c r="H1809"/>
  <c r="Y1774"/>
  <c r="Z81" i="36"/>
  <c r="Q57"/>
  <c r="K94"/>
  <c r="M95"/>
  <c r="P79" i="35" s="1"/>
  <c r="M1781"/>
  <c r="Q1781" s="1"/>
  <c r="J71" i="36"/>
  <c r="L71"/>
  <c r="M70"/>
  <c r="Q70" s="1"/>
  <c r="AD80"/>
  <c r="AD79"/>
  <c r="AD76"/>
  <c r="Q76" s="1"/>
  <c r="AA78"/>
  <c r="AC78"/>
  <c r="AD74"/>
  <c r="Q74" s="1"/>
  <c r="Z75"/>
  <c r="AB75"/>
  <c r="K1789" i="35"/>
  <c r="K1790" s="1"/>
  <c r="J1786"/>
  <c r="Q60" i="36"/>
  <c r="M59"/>
  <c r="I1782" i="35"/>
  <c r="I1809"/>
  <c r="I1811" s="1"/>
  <c r="I1813" s="1"/>
  <c r="I1796"/>
  <c r="H80"/>
  <c r="H51" i="7"/>
  <c r="J1775" i="35"/>
  <c r="AA1775"/>
  <c r="I1793"/>
  <c r="AA1793"/>
  <c r="K1793"/>
  <c r="AC1793"/>
  <c r="I1790"/>
  <c r="AA1790"/>
  <c r="AD69" i="36"/>
  <c r="Q77"/>
  <c r="M1785" i="35"/>
  <c r="Q1785" s="1"/>
  <c r="AD58" i="36"/>
  <c r="Q58" s="1"/>
  <c r="L1775" i="35"/>
  <c r="L1776" s="1"/>
  <c r="L1778" s="1"/>
  <c r="AC1775"/>
  <c r="K1796"/>
  <c r="I1772"/>
  <c r="Z1772"/>
  <c r="K1772"/>
  <c r="AB1772"/>
  <c r="H1775"/>
  <c r="Y1775"/>
  <c r="H79"/>
  <c r="H50" i="7"/>
  <c r="H49" s="1"/>
  <c r="H53" s="1"/>
  <c r="Y59" i="36"/>
  <c r="AB1809" i="35"/>
  <c r="AB1811" s="1"/>
  <c r="AB1813" s="1"/>
  <c r="AD1795"/>
  <c r="Z1796"/>
  <c r="AD1792"/>
  <c r="Z1793"/>
  <c r="J1793"/>
  <c r="AB1793"/>
  <c r="L1793"/>
  <c r="M1788"/>
  <c r="AD1789"/>
  <c r="Z1790"/>
  <c r="J1790"/>
  <c r="AD1786"/>
  <c r="I1773"/>
  <c r="Z1773"/>
  <c r="K1773"/>
  <c r="AB1773"/>
  <c r="AC1794"/>
  <c r="AC1796" s="1"/>
  <c r="L1794"/>
  <c r="L1796" s="1"/>
  <c r="J1638"/>
  <c r="J1640" s="1"/>
  <c r="H50" i="3"/>
  <c r="S40" s="1"/>
  <c r="H404" i="35"/>
  <c r="S394"/>
  <c r="S395" s="1"/>
  <c r="C46" i="8"/>
  <c r="F144"/>
  <c r="H1925" i="35"/>
  <c r="H1926"/>
  <c r="K1948"/>
  <c r="K72" i="8"/>
  <c r="K73"/>
  <c r="K74"/>
  <c r="H108"/>
  <c r="H107"/>
  <c r="H109"/>
  <c r="C1913" i="35"/>
  <c r="C37" i="8"/>
  <c r="C39"/>
  <c r="B1913" i="35"/>
  <c r="B39" i="8"/>
  <c r="F73"/>
  <c r="F72"/>
  <c r="F74"/>
  <c r="D107"/>
  <c r="D108"/>
  <c r="D109"/>
  <c r="D1948" i="35"/>
  <c r="D72" i="8"/>
  <c r="D74"/>
  <c r="D73"/>
  <c r="G1913" i="35"/>
  <c r="G39" i="8"/>
  <c r="G37"/>
  <c r="K1913" i="35"/>
  <c r="K39" i="8"/>
  <c r="K37"/>
  <c r="D1927" i="35"/>
  <c r="D2018"/>
  <c r="D142" i="8"/>
  <c r="D144"/>
  <c r="D143"/>
  <c r="I1948" i="35"/>
  <c r="I72" i="8"/>
  <c r="I74"/>
  <c r="I73"/>
  <c r="E1913" i="35"/>
  <c r="E37" i="8"/>
  <c r="E39"/>
  <c r="I1913" i="35"/>
  <c r="I37" i="8"/>
  <c r="I39"/>
  <c r="K1983" i="35"/>
  <c r="K108" i="8"/>
  <c r="K107"/>
  <c r="K109"/>
  <c r="C1983" i="35"/>
  <c r="C108" i="8"/>
  <c r="C107"/>
  <c r="C109"/>
  <c r="H73"/>
  <c r="H1948" i="35"/>
  <c r="H72" i="8"/>
  <c r="H74"/>
  <c r="E1948" i="35"/>
  <c r="E72" i="8"/>
  <c r="E74"/>
  <c r="E73"/>
  <c r="G1983" i="35"/>
  <c r="G108" i="8"/>
  <c r="G107"/>
  <c r="G109"/>
  <c r="J73"/>
  <c r="J72"/>
  <c r="J74"/>
  <c r="G1948" i="35"/>
  <c r="G72" i="8"/>
  <c r="G74"/>
  <c r="G73"/>
  <c r="C42"/>
  <c r="E2031" i="35"/>
  <c r="E2030"/>
  <c r="E2032"/>
  <c r="B2018"/>
  <c r="B142" i="8"/>
  <c r="B144"/>
  <c r="B143"/>
  <c r="I1983" i="35"/>
  <c r="I107" i="8"/>
  <c r="I109"/>
  <c r="I108"/>
  <c r="F1983" i="35"/>
  <c r="F108" i="8"/>
  <c r="F107"/>
  <c r="F109"/>
  <c r="D1995" i="35"/>
  <c r="D1996"/>
  <c r="D1997"/>
  <c r="J1960"/>
  <c r="J1961"/>
  <c r="J1962"/>
  <c r="B1960"/>
  <c r="B1961"/>
  <c r="B1962"/>
  <c r="F1927"/>
  <c r="J1927"/>
  <c r="F2018"/>
  <c r="C2018"/>
  <c r="C143" i="8"/>
  <c r="C142"/>
  <c r="C144"/>
  <c r="J1983" i="35"/>
  <c r="J108" i="8"/>
  <c r="J107"/>
  <c r="J109"/>
  <c r="H1995" i="35"/>
  <c r="H1996"/>
  <c r="H1997"/>
  <c r="E1983"/>
  <c r="E107" i="8"/>
  <c r="E109"/>
  <c r="E108"/>
  <c r="B1983" i="35"/>
  <c r="B108" i="8"/>
  <c r="B109"/>
  <c r="B107"/>
  <c r="F1960" i="35"/>
  <c r="F1961"/>
  <c r="F1962"/>
  <c r="E139" i="8"/>
  <c r="E142"/>
  <c r="E143"/>
  <c r="E144"/>
  <c r="E140"/>
  <c r="G1619" i="35"/>
  <c r="J1910"/>
  <c r="J1921" s="1"/>
  <c r="J1904"/>
  <c r="L1813"/>
  <c r="C1936"/>
  <c r="B1937"/>
  <c r="B1944"/>
  <c r="B1942"/>
  <c r="B1938"/>
  <c r="Y1811"/>
  <c r="Z1809"/>
  <c r="Z1811" s="1"/>
  <c r="Z1813" s="1"/>
  <c r="M1808"/>
  <c r="Q1808" s="1"/>
  <c r="K1809"/>
  <c r="K1811" s="1"/>
  <c r="K1813" s="1"/>
  <c r="H1811"/>
  <c r="M1810"/>
  <c r="AD1804"/>
  <c r="Q1804" s="1"/>
  <c r="AD1803"/>
  <c r="AD1802"/>
  <c r="Q1802" s="1"/>
  <c r="AD1801"/>
  <c r="AD1800"/>
  <c r="Q1800" s="1"/>
  <c r="Y1796"/>
  <c r="M1792"/>
  <c r="Q1792" s="1"/>
  <c r="AD1788"/>
  <c r="Y1790"/>
  <c r="M1780"/>
  <c r="H1782"/>
  <c r="AD1784"/>
  <c r="M69" i="36"/>
  <c r="I80" i="35"/>
  <c r="I51" i="7"/>
  <c r="I79" i="35"/>
  <c r="I50" i="7"/>
  <c r="Q66" i="36"/>
  <c r="AA81"/>
  <c r="AB81"/>
  <c r="Y78"/>
  <c r="Y75"/>
  <c r="M2524" i="35"/>
  <c r="AD88" i="36"/>
  <c r="Q88" s="1"/>
  <c r="AD89"/>
  <c r="AD86"/>
  <c r="Q86" s="1"/>
  <c r="AD87"/>
  <c r="B1929" i="35"/>
  <c r="C41" i="8"/>
  <c r="H1910" i="35"/>
  <c r="H1921" s="1"/>
  <c r="H1904"/>
  <c r="K1910"/>
  <c r="K1921" s="1"/>
  <c r="K1904"/>
  <c r="Y1791"/>
  <c r="H1791"/>
  <c r="M1812"/>
  <c r="Q1812" s="1"/>
  <c r="M1807"/>
  <c r="Q1801"/>
  <c r="H1796"/>
  <c r="H1790"/>
  <c r="I1786"/>
  <c r="M1784"/>
  <c r="Q1784" s="1"/>
  <c r="Y1782"/>
  <c r="AD1780"/>
  <c r="B14" i="8"/>
  <c r="G102" i="36"/>
  <c r="J81"/>
  <c r="K81"/>
  <c r="H78"/>
  <c r="H75"/>
  <c r="R13" i="24"/>
  <c r="R12"/>
  <c r="M89" i="36"/>
  <c r="M87"/>
  <c r="Y94"/>
  <c r="H94"/>
  <c r="I94"/>
  <c r="I96" s="1"/>
  <c r="I98" s="1"/>
  <c r="H51" i="3" l="1"/>
  <c r="S41"/>
  <c r="I1953" i="35"/>
  <c r="J65" i="8"/>
  <c r="J1924" i="35"/>
  <c r="H1924"/>
  <c r="M79" i="36"/>
  <c r="Q79" s="1"/>
  <c r="Q87"/>
  <c r="Q80"/>
  <c r="AD92"/>
  <c r="P50" i="7"/>
  <c r="R11" i="24"/>
  <c r="M1786" i="35"/>
  <c r="Q1807"/>
  <c r="P141" i="7"/>
  <c r="M32" i="11"/>
  <c r="H78" i="35"/>
  <c r="H82" s="1"/>
  <c r="K96" i="36"/>
  <c r="K98" s="1"/>
  <c r="AA98"/>
  <c r="AD67"/>
  <c r="Q67" s="1"/>
  <c r="J1813" i="35"/>
  <c r="AD93" i="36"/>
  <c r="J1776" i="35"/>
  <c r="J1778" s="1"/>
  <c r="Q1795"/>
  <c r="Q1803"/>
  <c r="L94" i="36"/>
  <c r="L96" s="1"/>
  <c r="L98" s="1"/>
  <c r="M92"/>
  <c r="Q92" s="1"/>
  <c r="M93"/>
  <c r="Q93" s="1"/>
  <c r="M78"/>
  <c r="AD1782" i="35"/>
  <c r="AD75" i="36"/>
  <c r="Q69"/>
  <c r="M1789" i="35"/>
  <c r="Q1789" s="1"/>
  <c r="Q1810"/>
  <c r="M1775"/>
  <c r="AC1776"/>
  <c r="AC1778" s="1"/>
  <c r="AB94" i="36"/>
  <c r="AB96" s="1"/>
  <c r="AB98" s="1"/>
  <c r="Z94"/>
  <c r="Z96" s="1"/>
  <c r="Z98" s="1"/>
  <c r="AD97"/>
  <c r="M97"/>
  <c r="Q62"/>
  <c r="H83" i="35"/>
  <c r="H54" i="7"/>
  <c r="H55" s="1"/>
  <c r="Q1777" i="35"/>
  <c r="AA1776"/>
  <c r="AA1778" s="1"/>
  <c r="H1776"/>
  <c r="Q1788"/>
  <c r="M75" i="36"/>
  <c r="F42" i="7" s="1"/>
  <c r="Q1786" i="35"/>
  <c r="P169"/>
  <c r="P140" i="7"/>
  <c r="AD78" i="36"/>
  <c r="Q78" s="1"/>
  <c r="M1782" i="35"/>
  <c r="AD1790"/>
  <c r="AD1794"/>
  <c r="AB1774"/>
  <c r="AB1776" s="1"/>
  <c r="AB1778" s="1"/>
  <c r="M71" i="36"/>
  <c r="Q71" s="1"/>
  <c r="AC96"/>
  <c r="AC98" s="1"/>
  <c r="AD95"/>
  <c r="Q95" s="1"/>
  <c r="M1790" i="35"/>
  <c r="Q1790" s="1"/>
  <c r="M81" i="36"/>
  <c r="F45" i="7" s="1"/>
  <c r="Q1780" i="35"/>
  <c r="M1773"/>
  <c r="M1794"/>
  <c r="Y61" i="36"/>
  <c r="AD59"/>
  <c r="Q59" s="1"/>
  <c r="K1774" i="35"/>
  <c r="K1776" s="1"/>
  <c r="K1778" s="1"/>
  <c r="M1772"/>
  <c r="I1774"/>
  <c r="M1796"/>
  <c r="AD1796"/>
  <c r="Z1774"/>
  <c r="AD1773"/>
  <c r="Y1776"/>
  <c r="AD1775"/>
  <c r="Q1775" s="1"/>
  <c r="AD1772"/>
  <c r="S42" i="3"/>
  <c r="C1934" i="35"/>
  <c r="D46" i="8"/>
  <c r="K1960" i="35"/>
  <c r="K1961"/>
  <c r="K1962"/>
  <c r="B1921"/>
  <c r="B1926"/>
  <c r="B1924"/>
  <c r="B1927"/>
  <c r="B1925"/>
  <c r="C1924"/>
  <c r="C1925"/>
  <c r="C1927"/>
  <c r="C1926"/>
  <c r="I1924"/>
  <c r="I1926"/>
  <c r="I1927"/>
  <c r="I1925"/>
  <c r="I1960"/>
  <c r="I1962"/>
  <c r="I1961"/>
  <c r="G1924"/>
  <c r="G1926"/>
  <c r="G1925"/>
  <c r="G1927"/>
  <c r="E1924"/>
  <c r="E1927"/>
  <c r="E1925"/>
  <c r="E1926"/>
  <c r="D2030"/>
  <c r="D2032"/>
  <c r="D2031"/>
  <c r="K1924"/>
  <c r="K1925"/>
  <c r="K1927"/>
  <c r="K1926"/>
  <c r="D1961"/>
  <c r="D1962"/>
  <c r="D1960"/>
  <c r="G1961"/>
  <c r="G1960"/>
  <c r="G1962"/>
  <c r="E1960"/>
  <c r="E1962"/>
  <c r="E1961"/>
  <c r="H1960"/>
  <c r="H1962"/>
  <c r="H1961"/>
  <c r="C1996"/>
  <c r="C1995"/>
  <c r="C1997"/>
  <c r="G1995"/>
  <c r="G1997"/>
  <c r="G1996"/>
  <c r="K1996"/>
  <c r="K1995"/>
  <c r="K1997"/>
  <c r="B1995"/>
  <c r="B1996"/>
  <c r="B1997"/>
  <c r="E1995"/>
  <c r="E1996"/>
  <c r="E1997"/>
  <c r="J1995"/>
  <c r="J1996"/>
  <c r="J1997"/>
  <c r="F2030"/>
  <c r="F2032"/>
  <c r="F2031"/>
  <c r="F1995"/>
  <c r="F1996"/>
  <c r="F1997"/>
  <c r="I1995"/>
  <c r="I1996"/>
  <c r="I1997"/>
  <c r="B2030"/>
  <c r="B2032"/>
  <c r="B2031"/>
  <c r="C2031"/>
  <c r="C2032"/>
  <c r="C2030"/>
  <c r="C1930"/>
  <c r="D42" i="8"/>
  <c r="F74" i="35"/>
  <c r="D1621"/>
  <c r="M1647" s="1"/>
  <c r="D125" i="15"/>
  <c r="E1589" i="35"/>
  <c r="P100"/>
  <c r="P96"/>
  <c r="J160" i="36"/>
  <c r="F115" i="15"/>
  <c r="P161" i="36"/>
  <c r="P67" i="7"/>
  <c r="D38" i="15"/>
  <c r="F1611" i="35"/>
  <c r="P98"/>
  <c r="J159" i="36"/>
  <c r="J158"/>
  <c r="P71" i="7"/>
  <c r="E93" i="15"/>
  <c r="P69" i="7"/>
  <c r="G125" i="15"/>
  <c r="F73" i="35"/>
  <c r="F44" i="7"/>
  <c r="M1791" i="35"/>
  <c r="H1793"/>
  <c r="M1793" s="1"/>
  <c r="C1929"/>
  <c r="D41" i="8"/>
  <c r="Y1813" i="35"/>
  <c r="AD1813" s="1"/>
  <c r="AD1811"/>
  <c r="B1945"/>
  <c r="B1939"/>
  <c r="D1534"/>
  <c r="Q89" i="36"/>
  <c r="Q75"/>
  <c r="B119" i="8"/>
  <c r="B15"/>
  <c r="C119"/>
  <c r="D119"/>
  <c r="E119"/>
  <c r="F119"/>
  <c r="B84"/>
  <c r="K84"/>
  <c r="I84"/>
  <c r="G84"/>
  <c r="E84"/>
  <c r="C84"/>
  <c r="K49"/>
  <c r="I49"/>
  <c r="G49"/>
  <c r="E49"/>
  <c r="C49"/>
  <c r="D14"/>
  <c r="F14"/>
  <c r="H14"/>
  <c r="J14"/>
  <c r="J84"/>
  <c r="H84"/>
  <c r="F84"/>
  <c r="D84"/>
  <c r="B49"/>
  <c r="J49"/>
  <c r="H49"/>
  <c r="F49"/>
  <c r="D49"/>
  <c r="C14"/>
  <c r="E14"/>
  <c r="G14"/>
  <c r="I14"/>
  <c r="K14"/>
  <c r="H1778" i="35"/>
  <c r="AD1791"/>
  <c r="Y1793"/>
  <c r="AD1793" s="1"/>
  <c r="AD81" i="36"/>
  <c r="Q1782" i="35"/>
  <c r="M1809"/>
  <c r="M1811"/>
  <c r="H1813"/>
  <c r="M1813" s="1"/>
  <c r="AD1809"/>
  <c r="D1936"/>
  <c r="C1937"/>
  <c r="C1942"/>
  <c r="C1938"/>
  <c r="C1944"/>
  <c r="G1621"/>
  <c r="M94" i="36"/>
  <c r="H96"/>
  <c r="Y96"/>
  <c r="H84" i="35" l="1"/>
  <c r="J1953"/>
  <c r="K65" i="8"/>
  <c r="B1956" i="35"/>
  <c r="B1959"/>
  <c r="Q1811"/>
  <c r="F71"/>
  <c r="AD94" i="36"/>
  <c r="P52" i="7"/>
  <c r="P81" i="35"/>
  <c r="Q97" i="36"/>
  <c r="J1648" i="35"/>
  <c r="Q81" i="36"/>
  <c r="Q1794" i="35"/>
  <c r="Q1791"/>
  <c r="Y1778"/>
  <c r="AD1774"/>
  <c r="Z1776"/>
  <c r="Z1778" s="1"/>
  <c r="AD1778" s="1"/>
  <c r="Q1796"/>
  <c r="Q1772"/>
  <c r="Y63" i="36"/>
  <c r="AD63" s="1"/>
  <c r="Q63" s="1"/>
  <c r="AD61"/>
  <c r="Q61" s="1"/>
  <c r="Q1773" i="35"/>
  <c r="I1776"/>
  <c r="M1774"/>
  <c r="Q1774" s="1"/>
  <c r="D1934"/>
  <c r="E46" i="8"/>
  <c r="D1930" i="35"/>
  <c r="E42" i="8"/>
  <c r="C1945" i="35"/>
  <c r="C1939"/>
  <c r="C120" i="8"/>
  <c r="D120"/>
  <c r="D121" s="1"/>
  <c r="E120"/>
  <c r="F120"/>
  <c r="F121" s="1"/>
  <c r="B120"/>
  <c r="J85"/>
  <c r="H85"/>
  <c r="F85"/>
  <c r="D85"/>
  <c r="B50"/>
  <c r="J50"/>
  <c r="H50"/>
  <c r="F50"/>
  <c r="D50"/>
  <c r="C15"/>
  <c r="C16" s="1"/>
  <c r="E15"/>
  <c r="G15"/>
  <c r="G16" s="1"/>
  <c r="I15"/>
  <c r="K15"/>
  <c r="K16" s="1"/>
  <c r="B85"/>
  <c r="B86" s="1"/>
  <c r="K85"/>
  <c r="K86" s="1"/>
  <c r="I85"/>
  <c r="I86" s="1"/>
  <c r="G85"/>
  <c r="G86" s="1"/>
  <c r="E85"/>
  <c r="E86" s="1"/>
  <c r="C85"/>
  <c r="C86" s="1"/>
  <c r="K50"/>
  <c r="K51" s="1"/>
  <c r="I50"/>
  <c r="I51" s="1"/>
  <c r="G50"/>
  <c r="G51" s="1"/>
  <c r="E50"/>
  <c r="E51" s="1"/>
  <c r="C50"/>
  <c r="C51" s="1"/>
  <c r="D15"/>
  <c r="D16" s="1"/>
  <c r="F15"/>
  <c r="F16" s="1"/>
  <c r="H15"/>
  <c r="H16" s="1"/>
  <c r="J15"/>
  <c r="J16" s="1"/>
  <c r="M151" i="15"/>
  <c r="J152"/>
  <c r="D1944" i="35"/>
  <c r="D1942"/>
  <c r="D1938"/>
  <c r="E1936"/>
  <c r="D1937"/>
  <c r="Q1813"/>
  <c r="Q1809"/>
  <c r="I16" i="8"/>
  <c r="B16"/>
  <c r="K6" s="1"/>
  <c r="F51"/>
  <c r="J51"/>
  <c r="D86"/>
  <c r="H86"/>
  <c r="E121"/>
  <c r="C121"/>
  <c r="B121"/>
  <c r="E41"/>
  <c r="D1929" i="35"/>
  <c r="Q1793"/>
  <c r="B21" i="8"/>
  <c r="AD96" i="36"/>
  <c r="Y98"/>
  <c r="AD98" s="1"/>
  <c r="M96"/>
  <c r="Q96" s="1"/>
  <c r="H98"/>
  <c r="M98" s="1"/>
  <c r="P78" i="35"/>
  <c r="P80" s="1"/>
  <c r="P82" s="1"/>
  <c r="P87" s="1"/>
  <c r="P49" i="7"/>
  <c r="P51" s="1"/>
  <c r="P53" s="1"/>
  <c r="P58" s="1"/>
  <c r="Q94" i="36"/>
  <c r="F55" i="8" l="1"/>
  <c r="D90"/>
  <c r="B125"/>
  <c r="E125"/>
  <c r="J55"/>
  <c r="H90"/>
  <c r="C125"/>
  <c r="G90"/>
  <c r="D20"/>
  <c r="I20"/>
  <c r="G20"/>
  <c r="I55"/>
  <c r="B20"/>
  <c r="P1863" i="35"/>
  <c r="P1873" s="1"/>
  <c r="P148" i="36"/>
  <c r="I90" i="8"/>
  <c r="K55"/>
  <c r="C55"/>
  <c r="J20"/>
  <c r="F125"/>
  <c r="E16"/>
  <c r="E20" s="1"/>
  <c r="B90"/>
  <c r="E90"/>
  <c r="G55"/>
  <c r="F20"/>
  <c r="C20"/>
  <c r="D125"/>
  <c r="K90"/>
  <c r="C90"/>
  <c r="E55"/>
  <c r="H20"/>
  <c r="K20"/>
  <c r="K1953" i="35"/>
  <c r="B100" i="8"/>
  <c r="C1956" i="35"/>
  <c r="C1959"/>
  <c r="J145" i="15"/>
  <c r="J146" s="1"/>
  <c r="J148" s="1"/>
  <c r="P145"/>
  <c r="P146" s="1"/>
  <c r="P148" s="1"/>
  <c r="M1641" i="35"/>
  <c r="M1642" s="1"/>
  <c r="M1644" s="1"/>
  <c r="I1778"/>
  <c r="M1778" s="1"/>
  <c r="M1776"/>
  <c r="AD1776"/>
  <c r="E1934"/>
  <c r="F46" i="8"/>
  <c r="E1930" i="35"/>
  <c r="F42" i="8"/>
  <c r="B126"/>
  <c r="D126"/>
  <c r="F126"/>
  <c r="K91"/>
  <c r="I91"/>
  <c r="G91"/>
  <c r="E91"/>
  <c r="C91"/>
  <c r="K56"/>
  <c r="I56"/>
  <c r="G56"/>
  <c r="E56"/>
  <c r="C56"/>
  <c r="D21"/>
  <c r="F21"/>
  <c r="H21"/>
  <c r="J21"/>
  <c r="C126"/>
  <c r="E126"/>
  <c r="B91"/>
  <c r="J91"/>
  <c r="H91"/>
  <c r="F91"/>
  <c r="D91"/>
  <c r="B56"/>
  <c r="J56"/>
  <c r="H56"/>
  <c r="F56"/>
  <c r="D56"/>
  <c r="C21"/>
  <c r="E21"/>
  <c r="G21"/>
  <c r="K21"/>
  <c r="I21"/>
  <c r="F1936" i="35"/>
  <c r="E1937"/>
  <c r="E1944"/>
  <c r="E1938"/>
  <c r="E1942"/>
  <c r="J86" i="8"/>
  <c r="J90" s="1"/>
  <c r="F86"/>
  <c r="F90" s="1"/>
  <c r="B51"/>
  <c r="B55" s="1"/>
  <c r="H51"/>
  <c r="H55" s="1"/>
  <c r="D51"/>
  <c r="D55" s="1"/>
  <c r="M145" i="15"/>
  <c r="M146" s="1"/>
  <c r="M148" s="1"/>
  <c r="P1641" i="35"/>
  <c r="P1642" s="1"/>
  <c r="P1644" s="1"/>
  <c r="J1641"/>
  <c r="J1642" s="1"/>
  <c r="J1644" s="1"/>
  <c r="E1929"/>
  <c r="F41" i="8"/>
  <c r="K7"/>
  <c r="K5"/>
  <c r="D1945" i="35"/>
  <c r="D1939"/>
  <c r="M1621"/>
  <c r="D1535"/>
  <c r="Q98" i="36"/>
  <c r="Q54" s="1"/>
  <c r="D39" i="15"/>
  <c r="M125"/>
  <c r="P158" i="36" l="1"/>
  <c r="N150"/>
  <c r="N149"/>
  <c r="B1988" i="35"/>
  <c r="C100" i="8"/>
  <c r="D1956" i="35"/>
  <c r="D1959"/>
  <c r="J149" i="15"/>
  <c r="J161" s="1"/>
  <c r="M163" s="1"/>
  <c r="Q1778" i="35"/>
  <c r="N1864"/>
  <c r="P1876"/>
  <c r="P1881" s="1"/>
  <c r="N1865"/>
  <c r="Q1776"/>
  <c r="Q1769" s="1"/>
  <c r="J1645"/>
  <c r="J1657" s="1"/>
  <c r="M1659" s="1"/>
  <c r="F1934"/>
  <c r="G46" i="8"/>
  <c r="F1930" i="35"/>
  <c r="G42" i="8"/>
  <c r="E1945" i="35"/>
  <c r="E1939"/>
  <c r="F1929"/>
  <c r="G41" i="8"/>
  <c r="G1936" i="35"/>
  <c r="F1937"/>
  <c r="F1944"/>
  <c r="F1942"/>
  <c r="F1938"/>
  <c r="J165" i="15"/>
  <c r="B19" i="8" l="1"/>
  <c r="N158" i="36"/>
  <c r="P166"/>
  <c r="C1988" i="35"/>
  <c r="D100" i="8"/>
  <c r="E1956" i="35"/>
  <c r="E1959"/>
  <c r="J1661"/>
  <c r="G1934"/>
  <c r="H46" i="8"/>
  <c r="G1930" i="35"/>
  <c r="H42" i="8"/>
  <c r="F1945" i="35"/>
  <c r="F1939"/>
  <c r="G1929"/>
  <c r="H41" i="8"/>
  <c r="H1936" i="35"/>
  <c r="G1937"/>
  <c r="G1942"/>
  <c r="G1938"/>
  <c r="G1944"/>
  <c r="J394"/>
  <c r="L394" s="1"/>
  <c r="J393"/>
  <c r="L393" s="1"/>
  <c r="J41" i="3"/>
  <c r="L41" s="1"/>
  <c r="J40"/>
  <c r="L40" s="1"/>
  <c r="E92" i="15"/>
  <c r="J6" i="7"/>
  <c r="B40" i="8" l="1"/>
  <c r="B124"/>
  <c r="D124"/>
  <c r="F124"/>
  <c r="C124"/>
  <c r="E124"/>
  <c r="K89"/>
  <c r="I89"/>
  <c r="G89"/>
  <c r="E89"/>
  <c r="C89"/>
  <c r="H54"/>
  <c r="D54"/>
  <c r="C19"/>
  <c r="G19"/>
  <c r="K19"/>
  <c r="J54"/>
  <c r="F54"/>
  <c r="E19"/>
  <c r="I19"/>
  <c r="B89"/>
  <c r="J89"/>
  <c r="H89"/>
  <c r="F89"/>
  <c r="D89"/>
  <c r="K54"/>
  <c r="G54"/>
  <c r="C54"/>
  <c r="D19"/>
  <c r="H19"/>
  <c r="B54"/>
  <c r="I54"/>
  <c r="E54"/>
  <c r="F19"/>
  <c r="J19"/>
  <c r="B22"/>
  <c r="D1988" i="35"/>
  <c r="E100" i="8"/>
  <c r="F1956" i="35"/>
  <c r="F1959"/>
  <c r="H1934"/>
  <c r="I46" i="8"/>
  <c r="H1930" i="35"/>
  <c r="I42" i="8"/>
  <c r="G1945" i="35"/>
  <c r="G1939"/>
  <c r="I41" i="8"/>
  <c r="H1929" i="35"/>
  <c r="H1944"/>
  <c r="H1942"/>
  <c r="I1936"/>
  <c r="H1937"/>
  <c r="H1938"/>
  <c r="B33" i="8" l="1"/>
  <c r="B36"/>
  <c r="F40"/>
  <c r="F22"/>
  <c r="I75"/>
  <c r="I57"/>
  <c r="H40"/>
  <c r="H22"/>
  <c r="C75"/>
  <c r="C57"/>
  <c r="K75"/>
  <c r="K57"/>
  <c r="F110"/>
  <c r="F92"/>
  <c r="F106" s="1"/>
  <c r="J110"/>
  <c r="J92"/>
  <c r="J106" s="1"/>
  <c r="I40"/>
  <c r="I22"/>
  <c r="F75"/>
  <c r="F57"/>
  <c r="K40"/>
  <c r="K22"/>
  <c r="C40"/>
  <c r="C22"/>
  <c r="H75"/>
  <c r="H57"/>
  <c r="E110"/>
  <c r="E92"/>
  <c r="E106" s="1"/>
  <c r="I110"/>
  <c r="I92"/>
  <c r="I106" s="1"/>
  <c r="E145"/>
  <c r="E127"/>
  <c r="E141" s="1"/>
  <c r="F145"/>
  <c r="F127"/>
  <c r="F141" s="1"/>
  <c r="B145"/>
  <c r="B127"/>
  <c r="B141" s="1"/>
  <c r="J40"/>
  <c r="J22"/>
  <c r="E75"/>
  <c r="E57"/>
  <c r="B75"/>
  <c r="B57"/>
  <c r="D40"/>
  <c r="D22"/>
  <c r="G75"/>
  <c r="G57"/>
  <c r="D110"/>
  <c r="D92"/>
  <c r="H110"/>
  <c r="H92"/>
  <c r="H106" s="1"/>
  <c r="B110"/>
  <c r="B92"/>
  <c r="E40"/>
  <c r="E22"/>
  <c r="J75"/>
  <c r="J57"/>
  <c r="G40"/>
  <c r="G22"/>
  <c r="D75"/>
  <c r="D57"/>
  <c r="C110"/>
  <c r="C92"/>
  <c r="G110"/>
  <c r="G92"/>
  <c r="G106" s="1"/>
  <c r="K110"/>
  <c r="K92"/>
  <c r="K106" s="1"/>
  <c r="C145"/>
  <c r="C127"/>
  <c r="C141" s="1"/>
  <c r="D145"/>
  <c r="D127"/>
  <c r="D141" s="1"/>
  <c r="E1988" i="35"/>
  <c r="F100" i="8"/>
  <c r="E103"/>
  <c r="G1956" i="35"/>
  <c r="G1959"/>
  <c r="I1934"/>
  <c r="J46" i="8"/>
  <c r="I1930" i="35"/>
  <c r="J42" i="8"/>
  <c r="H1945" i="35"/>
  <c r="H1939"/>
  <c r="J1936"/>
  <c r="I1937"/>
  <c r="I1944"/>
  <c r="I1942"/>
  <c r="I1938"/>
  <c r="I1929"/>
  <c r="J41" i="8"/>
  <c r="C106" l="1"/>
  <c r="C103"/>
  <c r="D68"/>
  <c r="D71"/>
  <c r="G33"/>
  <c r="G36"/>
  <c r="J68"/>
  <c r="J71"/>
  <c r="E33"/>
  <c r="E36"/>
  <c r="B103"/>
  <c r="B106"/>
  <c r="D106"/>
  <c r="D103"/>
  <c r="G68"/>
  <c r="G71"/>
  <c r="D33"/>
  <c r="D36"/>
  <c r="B71"/>
  <c r="B68"/>
  <c r="E71"/>
  <c r="E68"/>
  <c r="J33"/>
  <c r="J36"/>
  <c r="H68"/>
  <c r="H71"/>
  <c r="C33"/>
  <c r="C36"/>
  <c r="K33"/>
  <c r="K36"/>
  <c r="F68"/>
  <c r="F71"/>
  <c r="I33"/>
  <c r="I36"/>
  <c r="K68"/>
  <c r="K71"/>
  <c r="C68"/>
  <c r="C71"/>
  <c r="H36"/>
  <c r="H33"/>
  <c r="I68"/>
  <c r="I71"/>
  <c r="F33"/>
  <c r="F36"/>
  <c r="F1988" i="35"/>
  <c r="G100" i="8"/>
  <c r="F103"/>
  <c r="H1956" i="35"/>
  <c r="H1959"/>
  <c r="J1934"/>
  <c r="K46" i="8"/>
  <c r="J1930" i="35"/>
  <c r="K42" i="8"/>
  <c r="I1945" i="35"/>
  <c r="I1939"/>
  <c r="J1929"/>
  <c r="K41" i="8"/>
  <c r="K1936" i="35"/>
  <c r="J1937"/>
  <c r="J1944"/>
  <c r="J1942"/>
  <c r="J1938"/>
  <c r="G1988" l="1"/>
  <c r="H100" i="8"/>
  <c r="G103"/>
  <c r="I1956" i="35"/>
  <c r="I1959"/>
  <c r="K1934"/>
  <c r="B81" i="8"/>
  <c r="K1930" i="35"/>
  <c r="B77" i="8"/>
  <c r="J1945" i="35"/>
  <c r="J1939"/>
  <c r="K1929"/>
  <c r="B76" i="8"/>
  <c r="B1971" i="35"/>
  <c r="K1937"/>
  <c r="K1944"/>
  <c r="K1942"/>
  <c r="K1938"/>
  <c r="H1988" l="1"/>
  <c r="I100" i="8"/>
  <c r="H103"/>
  <c r="J1956" i="35"/>
  <c r="J1959"/>
  <c r="B1969"/>
  <c r="C81" i="8"/>
  <c r="B1965" i="35"/>
  <c r="C77" i="8"/>
  <c r="K1939" i="35"/>
  <c r="K1945"/>
  <c r="C76" i="8"/>
  <c r="B1964" i="35"/>
  <c r="B1972"/>
  <c r="B1979"/>
  <c r="B1977"/>
  <c r="B1973"/>
  <c r="C1971"/>
  <c r="J100" i="8" l="1"/>
  <c r="I1988" i="35"/>
  <c r="I103" i="8"/>
  <c r="K1956" i="35"/>
  <c r="K1959"/>
  <c r="C1969"/>
  <c r="D81" i="8"/>
  <c r="C1965" i="35"/>
  <c r="D77" i="8"/>
  <c r="D1971" i="35"/>
  <c r="C1979"/>
  <c r="C1973"/>
  <c r="C1972"/>
  <c r="C1977"/>
  <c r="B1974"/>
  <c r="B1980"/>
  <c r="C1964"/>
  <c r="D76" i="8"/>
  <c r="K100" l="1"/>
  <c r="J1988" i="35"/>
  <c r="J103" i="8"/>
  <c r="B1991" i="35"/>
  <c r="B1994"/>
  <c r="D1969"/>
  <c r="E81" i="8"/>
  <c r="D1965" i="35"/>
  <c r="E77" i="8"/>
  <c r="C1980" i="35"/>
  <c r="C1974"/>
  <c r="E76" i="8"/>
  <c r="D1964" i="35"/>
  <c r="D1972"/>
  <c r="D1979"/>
  <c r="D1977"/>
  <c r="E1971"/>
  <c r="D1973"/>
  <c r="B135" i="8" l="1"/>
  <c r="K1988" i="35"/>
  <c r="K103" i="8"/>
  <c r="C1991" i="35"/>
  <c r="C1994"/>
  <c r="E1969"/>
  <c r="F81" i="8"/>
  <c r="E1965" i="35"/>
  <c r="F77" i="8"/>
  <c r="F1971" i="35"/>
  <c r="E1972"/>
  <c r="E1977"/>
  <c r="E1973"/>
  <c r="E1979"/>
  <c r="D1974"/>
  <c r="D1980"/>
  <c r="E1964"/>
  <c r="F76" i="8"/>
  <c r="C135" l="1"/>
  <c r="B2023" i="35"/>
  <c r="B138" i="8"/>
  <c r="D1991" i="35"/>
  <c r="D1994"/>
  <c r="F1969"/>
  <c r="G81" i="8"/>
  <c r="F1965" i="35"/>
  <c r="G77" i="8"/>
  <c r="E1980" i="35"/>
  <c r="E1974"/>
  <c r="G76" i="8"/>
  <c r="F1964" i="35"/>
  <c r="F1972"/>
  <c r="F1979"/>
  <c r="F1977"/>
  <c r="G1971"/>
  <c r="F1973"/>
  <c r="D135" i="8" l="1"/>
  <c r="C2023" i="35"/>
  <c r="C138" i="8"/>
  <c r="E1991" i="35"/>
  <c r="E1994"/>
  <c r="G1969"/>
  <c r="H81" i="8"/>
  <c r="G1965" i="35"/>
  <c r="H77" i="8"/>
  <c r="H1971" i="35"/>
  <c r="G1979"/>
  <c r="G1973"/>
  <c r="G1972"/>
  <c r="G1977"/>
  <c r="F1974"/>
  <c r="F1980"/>
  <c r="G1964"/>
  <c r="H76" i="8"/>
  <c r="D138" l="1"/>
  <c r="E135"/>
  <c r="D2023" i="35"/>
  <c r="F1991"/>
  <c r="F1994"/>
  <c r="H1969"/>
  <c r="I81" i="8"/>
  <c r="H1965" i="35"/>
  <c r="I77" i="8"/>
  <c r="G1980" i="35"/>
  <c r="G1974"/>
  <c r="H1964"/>
  <c r="I76" i="8"/>
  <c r="H1972" i="35"/>
  <c r="H1979"/>
  <c r="H1977"/>
  <c r="I1971"/>
  <c r="H1973"/>
  <c r="E2023" l="1"/>
  <c r="F135" i="8"/>
  <c r="E138"/>
  <c r="G1991" i="35"/>
  <c r="G1994"/>
  <c r="I1969"/>
  <c r="J81" i="8"/>
  <c r="I1965" i="35"/>
  <c r="J77" i="8"/>
  <c r="J1971" i="35"/>
  <c r="I1972"/>
  <c r="I1977"/>
  <c r="I1973"/>
  <c r="I1979"/>
  <c r="I1964"/>
  <c r="J76" i="8"/>
  <c r="H1974" i="35"/>
  <c r="H1980"/>
  <c r="F138" i="8" l="1"/>
  <c r="F2023" i="35"/>
  <c r="H1991"/>
  <c r="H1994"/>
  <c r="J1969"/>
  <c r="K81" i="8"/>
  <c r="J1965" i="35"/>
  <c r="K77" i="8"/>
  <c r="I1980" i="35"/>
  <c r="I1974"/>
  <c r="K76" i="8"/>
  <c r="J1964" i="35"/>
  <c r="J1972"/>
  <c r="J1979"/>
  <c r="J1977"/>
  <c r="J1973"/>
  <c r="K1971"/>
  <c r="I1991" l="1"/>
  <c r="I1994"/>
  <c r="K1969"/>
  <c r="B116" i="8"/>
  <c r="K1965" i="35"/>
  <c r="B112" i="8"/>
  <c r="B2006" i="35"/>
  <c r="K1979"/>
  <c r="K1973"/>
  <c r="K1972"/>
  <c r="K1977"/>
  <c r="J1974"/>
  <c r="J1980"/>
  <c r="K1964"/>
  <c r="B111" i="8"/>
  <c r="J1991" i="35" l="1"/>
  <c r="J1994"/>
  <c r="B2004"/>
  <c r="C116" i="8"/>
  <c r="B2000" i="35"/>
  <c r="C112" i="8"/>
  <c r="K1980" i="35"/>
  <c r="K1974"/>
  <c r="C111" i="8"/>
  <c r="B1999" i="35"/>
  <c r="B2014"/>
  <c r="B2008"/>
  <c r="C2006"/>
  <c r="B2007"/>
  <c r="B2012"/>
  <c r="K1991" l="1"/>
  <c r="K1994"/>
  <c r="C2004"/>
  <c r="D116" i="8"/>
  <c r="C2000" i="35"/>
  <c r="D112" i="8"/>
  <c r="B2015" i="35"/>
  <c r="B2009"/>
  <c r="D2006"/>
  <c r="C2007"/>
  <c r="C2012"/>
  <c r="C2008"/>
  <c r="C2014"/>
  <c r="C1999"/>
  <c r="D111" i="8"/>
  <c r="B2026" i="35" l="1"/>
  <c r="B2029"/>
  <c r="D2004"/>
  <c r="E116" i="8"/>
  <c r="D2000" i="35"/>
  <c r="E112" i="8"/>
  <c r="C2009" i="35"/>
  <c r="C2015"/>
  <c r="E111" i="8"/>
  <c r="D1999" i="35"/>
  <c r="D2014"/>
  <c r="D2008"/>
  <c r="E2006"/>
  <c r="D2007"/>
  <c r="D2012"/>
  <c r="C2026" l="1"/>
  <c r="C2029"/>
  <c r="E2004"/>
  <c r="F116" i="8"/>
  <c r="E2000" i="35"/>
  <c r="F112" i="8"/>
  <c r="D2015" i="35"/>
  <c r="D2009"/>
  <c r="F2006"/>
  <c r="E2007"/>
  <c r="E2012"/>
  <c r="E2008"/>
  <c r="E2014"/>
  <c r="E1999"/>
  <c r="F111" i="8"/>
  <c r="D2026" i="35" l="1"/>
  <c r="D2029"/>
  <c r="F2004"/>
  <c r="G116" i="8"/>
  <c r="F2000" i="35"/>
  <c r="G112" i="8"/>
  <c r="E2015" i="35"/>
  <c r="E2009"/>
  <c r="F1999"/>
  <c r="G111" i="8"/>
  <c r="F2014" i="35"/>
  <c r="F2008"/>
  <c r="F2007"/>
  <c r="F2012"/>
  <c r="E2026" l="1"/>
  <c r="E2029"/>
  <c r="G2004"/>
  <c r="H116" i="8"/>
  <c r="G2000" i="35"/>
  <c r="H112" i="8"/>
  <c r="G1999" i="35"/>
  <c r="H111" i="8"/>
  <c r="F2015" i="35"/>
  <c r="F2009"/>
  <c r="F2026" l="1"/>
  <c r="F2029"/>
  <c r="H2004"/>
  <c r="I116" i="8"/>
  <c r="H2000" i="35"/>
  <c r="I112" i="8"/>
  <c r="I111"/>
  <c r="H1999" i="35"/>
  <c r="I2004" l="1"/>
  <c r="J116" i="8"/>
  <c r="I2000" i="35"/>
  <c r="J112" i="8"/>
  <c r="I1999" i="35"/>
  <c r="J111" i="8"/>
  <c r="J2004" i="35" l="1"/>
  <c r="K116" i="8"/>
  <c r="J2000" i="35"/>
  <c r="K112" i="8"/>
  <c r="K111"/>
  <c r="J1999" i="35"/>
  <c r="K2004" l="1"/>
  <c r="B151" i="8"/>
  <c r="K2000" i="35"/>
  <c r="B147" i="8"/>
  <c r="K1999" i="35"/>
  <c r="B146" i="8"/>
  <c r="B2039" i="35" l="1"/>
  <c r="C151" i="8"/>
  <c r="B2035" i="35"/>
  <c r="C147" i="8"/>
  <c r="C146"/>
  <c r="B2034" i="35"/>
  <c r="C2039" l="1"/>
  <c r="D151" i="8"/>
  <c r="C2035" i="35"/>
  <c r="D147" i="8"/>
  <c r="C2034" i="35"/>
  <c r="D146" i="8"/>
  <c r="D2039" i="35" l="1"/>
  <c r="E151" i="8"/>
  <c r="D2035" i="35"/>
  <c r="E147" i="8"/>
  <c r="D2034" i="35"/>
  <c r="E146" i="8"/>
  <c r="E2039" i="35" l="1"/>
  <c r="F151" i="8"/>
  <c r="F2039" i="35" s="1"/>
  <c r="E2035"/>
  <c r="F147" i="8"/>
  <c r="F2035" i="35" s="1"/>
  <c r="E2034"/>
  <c r="F146" i="8"/>
  <c r="F2034" i="35" s="1"/>
</calcChain>
</file>

<file path=xl/sharedStrings.xml><?xml version="1.0" encoding="utf-8"?>
<sst xmlns="http://schemas.openxmlformats.org/spreadsheetml/2006/main" count="10102" uniqueCount="4069">
  <si>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</si>
  <si>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</si>
  <si>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</si>
  <si>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</si>
  <si>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</si>
  <si>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</si>
  <si>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</si>
  <si>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</si>
  <si>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</si>
  <si>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</si>
  <si>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</si>
  <si>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</si>
  <si>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</si>
  <si>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</si>
  <si>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</si>
  <si>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</si>
  <si>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</si>
  <si>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</si>
  <si>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</si>
  <si>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</si>
  <si>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</si>
  <si>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</si>
  <si>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</si>
  <si>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</si>
  <si>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</si>
  <si>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</si>
  <si>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</si>
  <si>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</si>
  <si>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</si>
  <si>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</si>
  <si>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</si>
  <si>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</si>
  <si>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</si>
  <si>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</si>
  <si>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</si>
  <si>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</si>
  <si>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</si>
  <si>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</si>
  <si>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</si>
  <si>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</si>
  <si>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</si>
  <si>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</si>
  <si>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</si>
  <si>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</si>
  <si>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</si>
  <si>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</si>
  <si>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</si>
  <si>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</si>
  <si>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</si>
  <si>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</si>
  <si>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</si>
  <si>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</si>
  <si>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</si>
  <si>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</si>
  <si>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</si>
  <si>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</si>
  <si>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</si>
  <si>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</si>
  <si>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</si>
  <si>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</si>
  <si>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</si>
  <si>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</si>
  <si>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</si>
  <si>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</si>
  <si>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</si>
  <si>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</si>
  <si>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</si>
  <si>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</si>
  <si>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</si>
  <si>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</si>
  <si>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</si>
  <si>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</si>
  <si>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</si>
  <si>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</si>
  <si>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</si>
  <si>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</si>
  <si>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</si>
  <si>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</si>
  <si>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</si>
  <si>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</si>
  <si>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</si>
  <si>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</si>
  <si>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</si>
  <si>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</si>
  <si>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</si>
  <si>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</si>
  <si>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</si>
  <si>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</si>
  <si>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</si>
  <si>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</si>
  <si>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</si>
  <si>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</si>
  <si>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</si>
  <si>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</si>
  <si>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</si>
  <si>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</si>
  <si>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</si>
  <si>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</si>
  <si>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</si>
  <si>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</si>
  <si>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</si>
  <si>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</si>
  <si>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</si>
  <si>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</si>
  <si>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</si>
  <si>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</si>
  <si>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</si>
  <si>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</si>
  <si>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</si>
  <si>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</si>
  <si>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</si>
  <si>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</si>
  <si>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</si>
  <si>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</si>
  <si>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</si>
  <si>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</si>
  <si>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</si>
  <si>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</si>
  <si>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</si>
  <si>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</si>
  <si>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</si>
  <si>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</si>
  <si>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</si>
  <si>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</si>
  <si>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</si>
  <si>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</si>
  <si>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</si>
  <si>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</si>
  <si>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</si>
  <si>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</si>
  <si>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</si>
  <si>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</si>
  <si>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</si>
  <si>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</si>
  <si>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</si>
  <si>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</si>
  <si>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</si>
  <si>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</si>
  <si>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</si>
  <si>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</si>
  <si>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</si>
  <si>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</si>
  <si>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</si>
  <si>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</si>
  <si>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</si>
  <si>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</si>
  <si>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</si>
  <si>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</si>
  <si>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</si>
  <si>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</si>
  <si>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</si>
  <si>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</si>
  <si>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</si>
  <si>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</si>
  <si>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</si>
  <si>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</si>
  <si>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</si>
  <si>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</si>
  <si>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</si>
  <si>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</si>
  <si>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</si>
  <si>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</si>
  <si>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</si>
  <si>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</si>
  <si>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</si>
  <si>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</si>
  <si>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</si>
  <si>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</si>
  <si>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</si>
  <si>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</si>
  <si>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</si>
  <si>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</si>
  <si>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</si>
  <si>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</si>
  <si>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</si>
  <si>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</si>
  <si>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</si>
  <si>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</si>
  <si>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</si>
  <si>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</si>
  <si>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</si>
  <si>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</si>
  <si>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</si>
  <si>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</si>
  <si>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</si>
  <si>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</si>
  <si>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</si>
  <si>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</si>
  <si>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</si>
  <si>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</si>
  <si>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</si>
  <si>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</si>
  <si>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</si>
  <si>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</si>
  <si>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</si>
  <si>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</si>
  <si>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</si>
  <si>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</si>
  <si>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</si>
  <si>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</si>
  <si>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</si>
  <si>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</si>
  <si>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</si>
  <si>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</si>
  <si>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</si>
  <si>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</si>
  <si>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</si>
  <si>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</si>
  <si>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</si>
  <si>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</si>
  <si>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</si>
  <si>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</si>
  <si>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</si>
  <si>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</si>
  <si>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</si>
  <si>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</si>
  <si>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</si>
  <si>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</si>
  <si>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</si>
  <si>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</si>
  <si>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</si>
  <si>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</si>
  <si>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</si>
  <si>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</si>
  <si>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</si>
  <si>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</si>
  <si>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</si>
  <si>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</si>
  <si>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</si>
  <si>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</si>
  <si>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</si>
  <si>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</si>
  <si>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</si>
  <si>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</si>
  <si>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</si>
  <si>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</si>
  <si>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</si>
  <si>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</si>
  <si>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</si>
  <si>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</si>
  <si>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</si>
  <si>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</si>
  <si>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</si>
  <si>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</si>
  <si>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</si>
  <si>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</si>
  <si>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</si>
  <si>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</si>
  <si>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</si>
  <si>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</si>
  <si>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</si>
  <si>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</si>
  <si>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</si>
  <si>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</si>
  <si>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</si>
  <si>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</si>
  <si>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</si>
  <si>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</si>
  <si>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</si>
  <si>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</si>
  <si>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</si>
  <si>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</si>
  <si>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</si>
  <si>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</si>
  <si>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</si>
  <si>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</si>
  <si>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</si>
  <si>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</si>
  <si>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</si>
  <si>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</si>
  <si>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</si>
  <si>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</si>
  <si>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</si>
  <si>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</si>
  <si>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</si>
  <si>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</si>
  <si>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</si>
  <si>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</si>
  <si>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</si>
  <si>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</si>
  <si>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</si>
  <si>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</si>
  <si>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</si>
  <si>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</si>
  <si>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</si>
  <si>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</si>
  <si>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</si>
  <si>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</si>
  <si>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</si>
  <si>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</si>
  <si>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</si>
  <si>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</si>
  <si>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</si>
  <si>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</si>
  <si>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</si>
  <si>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</si>
  <si>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</si>
  <si>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</si>
  <si>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</si>
  <si>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</si>
  <si>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</si>
  <si>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</si>
  <si>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</si>
  <si>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</si>
  <si>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</si>
  <si>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</si>
  <si>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</si>
  <si>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</si>
  <si>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</si>
  <si>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</si>
  <si>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</si>
  <si>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</si>
  <si>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</si>
  <si>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</si>
  <si>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</si>
  <si>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</si>
  <si>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</si>
  <si>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</si>
  <si>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</si>
  <si>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</si>
  <si>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</si>
  <si>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</si>
  <si>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</si>
  <si>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</si>
  <si>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</si>
  <si>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</si>
  <si>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</si>
  <si>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</si>
  <si>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</si>
  <si>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</si>
  <si>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</si>
  <si>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</si>
  <si>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</si>
  <si>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</si>
  <si>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</si>
  <si>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</si>
  <si>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</si>
  <si>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</si>
  <si>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</si>
  <si>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</si>
  <si>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</si>
  <si>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</si>
  <si>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</si>
  <si>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</si>
  <si>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</si>
  <si>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</si>
  <si>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</si>
  <si>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</si>
  <si>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</si>
  <si>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</si>
  <si>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</si>
  <si>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</si>
  <si>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</si>
  <si>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</si>
  <si>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</si>
  <si>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</si>
  <si>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</si>
  <si>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</si>
  <si>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</si>
  <si>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</si>
  <si>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</si>
  <si>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</si>
  <si>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</si>
  <si>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</si>
  <si>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</si>
  <si>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</si>
  <si>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</si>
  <si>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</si>
  <si>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</si>
  <si>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</si>
  <si>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</si>
  <si>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</si>
  <si>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</si>
  <si>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</si>
  <si>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</si>
  <si>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</si>
  <si>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</si>
  <si>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</si>
  <si>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</si>
  <si>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</si>
  <si>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</si>
  <si>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</si>
  <si>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</si>
  <si>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</si>
  <si>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</si>
  <si>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</si>
  <si>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</si>
  <si>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</si>
  <si>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</si>
  <si>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</si>
  <si>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</si>
  <si>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</si>
  <si>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</si>
  <si>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</si>
  <si>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</si>
  <si>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</si>
  <si>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</si>
  <si>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</si>
  <si>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</si>
  <si>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</si>
  <si>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</si>
  <si>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</si>
  <si>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</si>
  <si>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</si>
  <si>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</si>
  <si>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</si>
  <si>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</si>
  <si>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</si>
  <si>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</si>
  <si>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</si>
  <si>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</si>
  <si>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</si>
  <si>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</si>
  <si>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</si>
  <si>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</si>
  <si>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</si>
  <si>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</si>
  <si>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</si>
  <si>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</si>
  <si>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</si>
  <si>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</si>
  <si>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</si>
  <si>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</si>
  <si>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</si>
  <si>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</si>
  <si>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</si>
  <si>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</si>
  <si>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</si>
  <si>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</si>
  <si>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</si>
  <si>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</si>
  <si>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</si>
  <si>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</si>
  <si>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</si>
  <si>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</si>
  <si>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</si>
  <si>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</si>
  <si>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</si>
  <si>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</si>
  <si>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</si>
  <si>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</si>
  <si>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</si>
  <si>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</si>
  <si>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</si>
  <si>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</si>
  <si>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</si>
  <si>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</si>
  <si>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</si>
  <si>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</si>
  <si>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</si>
  <si>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</si>
  <si>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</si>
  <si>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</si>
  <si>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</si>
  <si>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</si>
  <si>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</si>
  <si>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</si>
  <si>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</si>
  <si>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</si>
  <si>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</si>
  <si>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</si>
  <si>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</si>
  <si>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</si>
  <si>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</si>
  <si>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</si>
  <si>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</si>
  <si>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</si>
  <si>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</si>
  <si>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</si>
  <si>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</si>
  <si>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</si>
  <si>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</si>
  <si>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</si>
  <si>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</si>
  <si>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</si>
  <si>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</si>
  <si>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</si>
  <si>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</si>
  <si>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</si>
  <si>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</si>
  <si>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</si>
  <si>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</si>
  <si>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</si>
  <si>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</si>
  <si>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</si>
  <si>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</si>
  <si>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</si>
  <si>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</si>
  <si>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</si>
  <si>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</si>
  <si>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</si>
  <si>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</si>
  <si>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</si>
  <si>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</si>
  <si>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</si>
  <si>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</si>
  <si>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</si>
  <si>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</si>
  <si>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</si>
  <si>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</si>
  <si>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</si>
  <si>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</si>
  <si>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</si>
  <si>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</si>
  <si>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</si>
  <si>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</si>
  <si>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</si>
  <si>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</si>
  <si>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</si>
  <si>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</si>
  <si>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</si>
  <si>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</si>
  <si>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</si>
  <si>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</si>
  <si>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</si>
  <si>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</si>
  <si>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</si>
  <si>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</si>
  <si>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</si>
  <si>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</si>
  <si>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</si>
  <si>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</si>
  <si>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</si>
  <si>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</si>
  <si>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</si>
  <si>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</si>
  <si>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</si>
  <si>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</si>
  <si>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</si>
  <si>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</si>
  <si>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</si>
  <si>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</si>
  <si>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</si>
  <si>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</si>
  <si>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</si>
  <si>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</si>
  <si>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</si>
  <si>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</si>
  <si>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</si>
  <si>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</si>
  <si>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</si>
  <si>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</si>
  <si>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</si>
  <si>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</si>
  <si>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</si>
  <si>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</si>
  <si>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</si>
  <si>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</si>
  <si>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</si>
  <si>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</si>
  <si>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</si>
  <si>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</si>
  <si>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</si>
  <si>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</si>
  <si>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</si>
  <si>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</si>
  <si>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</si>
  <si>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</si>
  <si>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</si>
  <si>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</si>
  <si>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</si>
  <si>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</si>
  <si>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</si>
  <si>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</si>
  <si>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</si>
  <si>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</si>
  <si>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</si>
  <si>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</si>
  <si>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</si>
  <si>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</si>
  <si>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</si>
  <si>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</si>
  <si>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</si>
  <si>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</si>
  <si>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</si>
  <si>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</si>
  <si>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</si>
  <si>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</si>
  <si>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</si>
  <si>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</si>
  <si>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</si>
  <si>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</si>
  <si>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</si>
  <si>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</si>
  <si>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</si>
  <si>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</si>
  <si>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</si>
  <si>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</si>
  <si>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</si>
  <si>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</si>
  <si>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</si>
  <si>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</si>
  <si>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</si>
  <si>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</si>
  <si>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</si>
  <si>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</si>
  <si>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</si>
  <si>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</si>
  <si>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</si>
  <si>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</si>
  <si>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</si>
  <si>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</si>
  <si>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</si>
  <si>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</si>
  <si>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</si>
  <si>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</si>
  <si>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</si>
  <si>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</si>
  <si>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</si>
  <si>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</si>
  <si>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</si>
  <si>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</si>
  <si>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</si>
  <si>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</si>
  <si>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</si>
  <si>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</si>
  <si>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</si>
  <si>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</si>
  <si>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</si>
  <si>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</si>
  <si>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</si>
  <si>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</si>
  <si>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</si>
  <si>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</si>
  <si>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</si>
  <si>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</si>
  <si>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</si>
  <si>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</si>
  <si>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</si>
  <si>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</si>
  <si>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</si>
  <si>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</si>
  <si>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</si>
  <si>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</si>
  <si>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</si>
  <si>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</si>
  <si>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</si>
  <si>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</si>
  <si>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</si>
  <si>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</si>
  <si>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</si>
  <si>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</si>
  <si>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</si>
  <si>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</si>
  <si>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</si>
  <si>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</si>
  <si>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</si>
  <si>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</si>
  <si>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</si>
  <si>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</si>
  <si>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</si>
  <si>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</si>
  <si>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</si>
  <si>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</si>
  <si>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</si>
  <si>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</si>
  <si>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</si>
  <si>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</si>
  <si>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</si>
  <si>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</si>
  <si>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</si>
  <si>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</si>
  <si>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</si>
  <si>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</si>
  <si>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</si>
  <si>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</si>
  <si>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</si>
  <si>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</si>
  <si>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</si>
  <si>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</si>
  <si>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</si>
  <si>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</si>
  <si>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</si>
  <si>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</si>
  <si>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</si>
  <si>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</si>
  <si>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</si>
  <si>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</si>
  <si>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</si>
  <si>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</si>
  <si>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</si>
  <si>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</si>
  <si>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</si>
  <si>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</si>
  <si>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</si>
  <si>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</si>
  <si>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</si>
  <si>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</si>
  <si>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</si>
  <si>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</si>
  <si>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</si>
  <si>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</si>
  <si>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</si>
  <si>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</si>
  <si>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</si>
  <si>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</si>
  <si>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</si>
  <si>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</si>
  <si>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</si>
  <si>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</si>
  <si>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</si>
  <si>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</si>
  <si>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</si>
  <si>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</si>
  <si>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</si>
  <si>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</si>
  <si>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</si>
  <si>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</si>
  <si>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</si>
  <si>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</si>
  <si>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</si>
  <si>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</si>
  <si>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</si>
  <si>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</si>
  <si>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</si>
  <si>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</si>
  <si>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</si>
  <si>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</si>
  <si>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</si>
  <si>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</si>
  <si>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</si>
  <si>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</si>
  <si>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</si>
  <si>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</si>
  <si>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</si>
  <si>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</si>
  <si>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</si>
  <si>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</si>
  <si>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</si>
  <si>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</si>
  <si>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</si>
  <si>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</si>
  <si>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</si>
  <si>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</si>
  <si>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</si>
  <si>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</si>
  <si>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</si>
  <si>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</si>
  <si>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</si>
  <si>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</si>
  <si>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</si>
  <si>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</si>
  <si>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</si>
  <si>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</si>
  <si>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</si>
  <si>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</si>
  <si>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</si>
  <si>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</si>
  <si>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</si>
  <si>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</si>
  <si>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</si>
  <si>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</si>
  <si>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</si>
  <si>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</si>
  <si>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</si>
  <si>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</si>
  <si>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</si>
  <si>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</si>
  <si>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</si>
  <si>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</si>
  <si>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</si>
  <si>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</si>
  <si>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</si>
  <si>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</si>
  <si>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</si>
  <si>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</si>
  <si>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</si>
  <si>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</si>
  <si>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</si>
  <si>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</si>
  <si>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</si>
  <si>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</si>
  <si>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</si>
  <si>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</si>
  <si>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</si>
  <si>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</si>
  <si>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</si>
  <si>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</si>
  <si>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</si>
  <si>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</si>
  <si>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</si>
  <si>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</si>
  <si>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</si>
  <si>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</si>
  <si>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</si>
  <si>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</si>
  <si>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</si>
  <si>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</si>
  <si>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</si>
  <si>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</si>
  <si>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</si>
  <si>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</si>
  <si>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</si>
  <si>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</si>
  <si>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</si>
  <si>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</si>
  <si>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</si>
  <si>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</si>
  <si>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</si>
  <si>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</si>
  <si>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</si>
  <si>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</si>
  <si>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</si>
  <si>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</si>
  <si>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</si>
  <si>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</si>
  <si>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</si>
  <si>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</si>
  <si>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</si>
  <si>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</si>
  <si>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</si>
  <si>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</si>
  <si>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</si>
  <si>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</si>
  <si>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</si>
  <si>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</si>
  <si>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</si>
  <si>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</si>
  <si>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</si>
  <si>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</si>
  <si>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</si>
  <si>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</si>
  <si>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</si>
  <si>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</si>
  <si>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</si>
  <si>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</si>
  <si>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</si>
  <si>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</si>
  <si>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</si>
  <si>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</si>
  <si>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</si>
  <si>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</si>
  <si>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</si>
  <si>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</si>
  <si>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</si>
  <si>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</si>
  <si>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</si>
  <si>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</si>
  <si>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</si>
  <si>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</si>
  <si>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</si>
  <si>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</si>
  <si>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</si>
  <si>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</si>
  <si>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</si>
  <si>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</si>
  <si>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</si>
  <si>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</si>
  <si>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</si>
  <si>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</si>
  <si>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</si>
  <si>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</si>
  <si>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</si>
  <si>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</si>
  <si>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</si>
  <si>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</si>
  <si>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</si>
  <si>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</si>
  <si>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</si>
  <si>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</si>
  <si>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</si>
  <si>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</si>
  <si>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</si>
  <si>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</si>
  <si>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</si>
  <si>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</si>
  <si>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</si>
  <si>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</si>
  <si>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</si>
  <si>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</si>
  <si>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</si>
  <si>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</si>
  <si>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</si>
  <si>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</si>
  <si>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</si>
  <si>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</si>
  <si>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</si>
  <si>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</si>
  <si>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</si>
  <si>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</si>
  <si>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</si>
  <si>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</si>
  <si>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</si>
  <si>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</si>
  <si>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</si>
  <si>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</si>
  <si>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</si>
  <si>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</si>
  <si>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</si>
  <si>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</si>
  <si>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</si>
  <si>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</si>
  <si>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</si>
  <si>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</si>
  <si>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</si>
  <si>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</si>
  <si>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</si>
  <si>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</si>
  <si>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</si>
  <si>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</si>
  <si>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</si>
  <si>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</si>
  <si>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</si>
  <si>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</si>
  <si>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</si>
  <si>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</si>
  <si>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</si>
  <si>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</si>
  <si>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</si>
  <si>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</si>
  <si>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</si>
  <si>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</si>
  <si>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</si>
  <si>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</si>
  <si>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</si>
  <si>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</si>
  <si>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</si>
  <si>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</si>
  <si>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</si>
  <si>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</si>
  <si>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</si>
  <si>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</si>
  <si>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</si>
  <si>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</si>
  <si>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</si>
  <si>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</si>
  <si>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</si>
  <si>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</si>
  <si>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</si>
  <si>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</si>
  <si>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</si>
  <si>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</si>
  <si>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</si>
  <si>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</si>
  <si>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</si>
  <si>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</si>
  <si>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</si>
  <si>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</si>
  <si>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</si>
  <si>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</si>
  <si>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</si>
  <si>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</si>
  <si>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</si>
  <si>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</si>
  <si>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</si>
  <si>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</si>
  <si>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</si>
  <si>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</si>
  <si>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</si>
  <si>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</si>
  <si>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</si>
  <si>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</si>
  <si>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</si>
  <si>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</si>
  <si>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</si>
  <si>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</si>
  <si>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</si>
  <si>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</si>
  <si>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</si>
  <si>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</si>
  <si>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</si>
  <si>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</si>
  <si>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</si>
  <si>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</si>
  <si>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</si>
  <si>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</si>
  <si>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</si>
  <si>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</si>
  <si>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</si>
  <si>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</si>
  <si>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</si>
  <si>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</si>
  <si>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</si>
  <si>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</si>
  <si>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</si>
  <si>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</si>
  <si>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</si>
  <si>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</si>
  <si>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</si>
  <si>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</si>
  <si>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</si>
  <si>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</si>
  <si>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</si>
  <si>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</si>
  <si>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</si>
  <si>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</si>
  <si>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</si>
  <si>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</si>
  <si>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</si>
  <si>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</si>
  <si>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</si>
  <si>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</si>
  <si>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</si>
  <si>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</si>
  <si>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</si>
  <si>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</si>
  <si>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</si>
  <si>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</si>
  <si>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</si>
  <si>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</si>
  <si>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</si>
  <si>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</si>
  <si>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</si>
  <si>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</si>
  <si>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</si>
  <si>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</si>
  <si>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</si>
  <si>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</si>
  <si>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</si>
  <si>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</si>
  <si>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</si>
  <si>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</si>
  <si>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</si>
  <si>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</si>
  <si>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</si>
  <si>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</si>
  <si>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</si>
  <si>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</si>
  <si>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</si>
  <si>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</si>
  <si>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</si>
  <si>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</si>
  <si>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</si>
  <si>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</si>
  <si>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</si>
  <si>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</si>
  <si>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</si>
  <si>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</si>
  <si>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</si>
  <si>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</si>
  <si>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</si>
  <si>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</si>
  <si>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</si>
  <si>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</si>
  <si>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</si>
  <si>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</si>
  <si>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</si>
  <si>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</si>
  <si>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</si>
  <si>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</si>
  <si>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</si>
  <si>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</si>
  <si>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</si>
  <si>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</si>
  <si>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</si>
  <si>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</si>
  <si>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</si>
  <si>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</si>
  <si>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</si>
  <si>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</si>
  <si>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</si>
  <si>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</si>
  <si>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</si>
  <si>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</si>
  <si>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</si>
  <si>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</si>
  <si>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</si>
  <si>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</si>
  <si>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</si>
  <si>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</si>
  <si>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</si>
  <si>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</si>
  <si>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</si>
  <si>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</si>
  <si>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</si>
  <si>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</si>
  <si>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</si>
  <si>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</si>
  <si>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</si>
  <si>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</si>
  <si>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</si>
  <si>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</si>
  <si>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</si>
  <si>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</si>
  <si>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</si>
  <si>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</si>
  <si>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</si>
  <si>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</si>
  <si>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</si>
  <si>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</si>
  <si>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</si>
  <si>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</si>
  <si>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</si>
  <si>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</si>
  <si>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</si>
  <si>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</si>
  <si>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</si>
  <si>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</si>
  <si>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</si>
  <si>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</si>
  <si>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</si>
  <si>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</si>
  <si>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</si>
  <si>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</si>
  <si>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</si>
  <si>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</si>
  <si>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</si>
  <si>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</si>
  <si>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</si>
  <si>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</si>
  <si>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</si>
  <si>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</si>
  <si>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</si>
  <si>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</si>
  <si>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</si>
  <si>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</si>
  <si>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</si>
  <si>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</si>
  <si>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</si>
  <si>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</si>
  <si>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</si>
  <si>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</si>
  <si>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</si>
  <si>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</si>
  <si>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</si>
  <si>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</si>
  <si>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</si>
  <si>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</si>
  <si>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</si>
  <si>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</si>
  <si>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</si>
  <si>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</si>
  <si>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</si>
  <si>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</si>
  <si>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</si>
  <si>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</si>
  <si>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</si>
  <si>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</si>
  <si>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</si>
  <si>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</si>
  <si>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</si>
  <si>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</si>
  <si>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</si>
  <si>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</si>
  <si>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</si>
  <si>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</si>
  <si>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</si>
  <si>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</si>
  <si>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</si>
  <si>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</si>
  <si>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</si>
  <si>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</si>
  <si>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</si>
  <si>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</si>
  <si>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</si>
  <si>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</si>
  <si>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</si>
  <si>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</si>
  <si>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</si>
  <si>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</si>
  <si>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</si>
  <si>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</si>
  <si>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</si>
  <si>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</si>
  <si>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</si>
  <si>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</si>
  <si>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</si>
  <si>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</si>
  <si>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</si>
  <si>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</si>
  <si>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</si>
  <si>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</si>
  <si>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</si>
  <si>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</si>
  <si>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</si>
  <si>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</si>
  <si>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</si>
  <si>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</si>
  <si>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</si>
  <si>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</si>
  <si>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</si>
  <si>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</si>
  <si>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</si>
  <si>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</si>
  <si>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</si>
  <si>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</si>
  <si>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</si>
  <si>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</si>
  <si>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</si>
  <si>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</si>
  <si>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</si>
  <si>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</si>
  <si>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</si>
  <si>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</si>
  <si>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</si>
  <si>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</si>
  <si>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</si>
  <si>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</si>
  <si>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</si>
  <si>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</si>
  <si>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</si>
  <si>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</si>
  <si>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</si>
  <si>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</si>
  <si>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</si>
  <si>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</si>
  <si>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</si>
  <si>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</si>
  <si>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</si>
  <si>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</si>
  <si>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</si>
  <si>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</si>
  <si>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</si>
  <si>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</si>
  <si>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</si>
  <si>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</si>
  <si>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</si>
  <si>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</si>
  <si>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</si>
  <si>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</si>
  <si>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</si>
  <si>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</si>
  <si>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</si>
  <si>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</si>
  <si>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</si>
  <si>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</si>
  <si>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</si>
  <si>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</si>
  <si>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</si>
  <si>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</si>
  <si>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</si>
  <si>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</si>
  <si>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</si>
  <si>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</si>
  <si>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</si>
  <si>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</si>
  <si>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</si>
  <si>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</si>
  <si>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</si>
  <si>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</si>
  <si>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</si>
  <si>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</si>
  <si>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</si>
  <si>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</si>
  <si>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</si>
  <si>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</si>
  <si>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</si>
  <si>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</si>
  <si>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</si>
  <si>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</si>
  <si>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</si>
  <si>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</si>
  <si>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</si>
  <si>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</si>
  <si>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</si>
  <si>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</si>
  <si>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</si>
  <si>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</si>
  <si>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</si>
  <si>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</si>
  <si>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</si>
  <si>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</si>
  <si>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</si>
  <si>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</si>
  <si>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</si>
  <si>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</si>
  <si>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</si>
  <si>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</si>
  <si>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</si>
  <si>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</si>
  <si>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</si>
  <si>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</si>
  <si>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</si>
  <si>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</si>
  <si>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</si>
  <si>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</si>
  <si>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</si>
  <si>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</si>
  <si>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</si>
  <si>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</si>
  <si>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</si>
  <si>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</si>
  <si>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</si>
  <si>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</si>
  <si>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</si>
  <si>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</si>
  <si>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</si>
  <si>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</si>
  <si>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</si>
  <si>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</si>
  <si>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</si>
  <si>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</si>
  <si>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</si>
  <si>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</si>
  <si>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</si>
  <si>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</si>
  <si>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</si>
  <si>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</si>
  <si>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</si>
  <si>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</si>
  <si>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</si>
  <si>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</si>
  <si>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</si>
  <si>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</si>
  <si>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</si>
  <si>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</si>
  <si>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</si>
  <si>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</si>
  <si>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</si>
  <si>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</si>
  <si>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</si>
  <si>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</si>
  <si>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</si>
  <si>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</si>
  <si>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</si>
  <si>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</si>
  <si>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</si>
  <si>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</si>
  <si>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</si>
  <si>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</si>
  <si>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</si>
  <si>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</si>
  <si>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</si>
  <si>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</si>
  <si>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</si>
  <si>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</si>
  <si>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</si>
  <si>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</si>
  <si>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</si>
  <si>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</si>
  <si>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</si>
  <si>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</si>
  <si>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</si>
  <si>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</si>
  <si>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</si>
  <si>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</si>
  <si>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</si>
  <si>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</si>
  <si>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</si>
  <si>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</si>
  <si>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</si>
  <si>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</si>
  <si>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</si>
  <si>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</si>
  <si>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</si>
  <si>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</si>
  <si>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</si>
  <si>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</si>
  <si>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</si>
  <si>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</si>
  <si>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</si>
  <si>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</si>
  <si>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</si>
  <si>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</si>
  <si>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</si>
  <si>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</si>
  <si>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</si>
  <si>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</si>
  <si>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</si>
  <si>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</si>
  <si>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</si>
  <si>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</si>
  <si>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</si>
  <si>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</si>
  <si>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</si>
  <si>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</si>
  <si>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</si>
  <si>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</si>
  <si>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</si>
  <si>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</si>
  <si>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</si>
  <si>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</si>
  <si>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</si>
  <si>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</si>
  <si>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</si>
  <si>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</si>
  <si>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</si>
  <si>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</si>
  <si>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</si>
  <si>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</si>
  <si>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</si>
  <si>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</si>
  <si>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</si>
  <si>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</si>
  <si>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</si>
  <si>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</si>
  <si>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</si>
  <si>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</si>
  <si>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</si>
  <si>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</si>
  <si>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</si>
  <si>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</si>
  <si>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</si>
  <si>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</si>
  <si>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</si>
  <si>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</si>
  <si>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</si>
  <si>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</si>
  <si>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</si>
  <si>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</si>
  <si>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</si>
  <si>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</si>
  <si>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</si>
  <si>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</si>
  <si>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</si>
  <si>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</si>
  <si>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</si>
  <si>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</si>
  <si>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</si>
  <si>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</si>
  <si>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</si>
  <si>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</si>
  <si>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</si>
  <si>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</si>
  <si>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</si>
  <si>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</si>
  <si>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</si>
  <si>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</si>
  <si>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</si>
  <si>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</si>
  <si>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</si>
  <si>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</si>
  <si>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</si>
  <si>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</si>
  <si>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</si>
  <si>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</si>
  <si>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</si>
  <si>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</si>
  <si>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</si>
  <si>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</si>
  <si>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</si>
  <si>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</si>
  <si>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</si>
  <si>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</si>
  <si>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</si>
  <si>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</si>
  <si>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</si>
  <si>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</si>
  <si>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</si>
  <si>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</si>
  <si>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</si>
  <si>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</si>
  <si>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</si>
  <si>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</si>
  <si>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</si>
  <si>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</si>
  <si>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</si>
  <si>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</si>
  <si>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</si>
  <si>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</si>
  <si>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</si>
  <si>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</si>
  <si>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</si>
  <si>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</si>
  <si>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</si>
  <si>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</si>
  <si>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</si>
  <si>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</si>
  <si>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</si>
  <si>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</si>
  <si>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</si>
  <si>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</si>
  <si>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</si>
  <si>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</si>
  <si>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</si>
  <si>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</si>
  <si>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</si>
  <si>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</si>
  <si>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</si>
  <si>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</si>
  <si>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</si>
  <si>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</si>
  <si>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</si>
  <si>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</si>
  <si>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</si>
  <si>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</si>
  <si>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</si>
  <si>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</si>
  <si>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</si>
  <si>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</si>
  <si>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</si>
  <si>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</si>
  <si>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</si>
  <si>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</si>
  <si>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</si>
  <si>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</si>
  <si>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</si>
  <si>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</si>
  <si>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</si>
  <si>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</si>
  <si>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</si>
  <si>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</si>
  <si>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</si>
  <si>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</si>
  <si>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</si>
  <si>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</si>
  <si>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</si>
  <si>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</si>
  <si>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</si>
  <si>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</si>
  <si>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</si>
  <si>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</si>
  <si>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</si>
  <si>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</si>
  <si>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</si>
  <si>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</si>
  <si>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</si>
  <si>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</si>
  <si>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</si>
  <si>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</si>
  <si>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</si>
  <si>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</si>
  <si>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</si>
  <si>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</si>
  <si>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</si>
  <si>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</si>
  <si>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</si>
  <si>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</si>
  <si>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</si>
  <si>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</si>
  <si>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</si>
  <si>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</si>
  <si>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</si>
  <si>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</si>
  <si>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</si>
  <si>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</si>
  <si>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</si>
  <si>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</si>
  <si>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</si>
  <si>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</si>
  <si>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</si>
  <si>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</si>
  <si>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</si>
  <si>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</si>
  <si>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</si>
  <si>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</si>
  <si>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</si>
  <si>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</si>
  <si>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</si>
  <si>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</si>
  <si>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</si>
  <si>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</si>
  <si>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</si>
  <si>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</si>
  <si>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</si>
  <si>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</si>
  <si>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</si>
  <si>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</si>
  <si>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</si>
  <si>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</si>
  <si>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</si>
  <si>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</si>
  <si>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</si>
  <si>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</si>
  <si>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</si>
  <si>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</si>
  <si>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</si>
  <si>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</si>
  <si>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</si>
  <si>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</si>
  <si>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</si>
  <si>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</si>
  <si>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</si>
  <si>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</si>
  <si>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</si>
  <si>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</si>
  <si>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</si>
  <si>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</si>
  <si>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</si>
  <si>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</si>
  <si>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</si>
  <si>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</si>
  <si>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</si>
  <si>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</si>
  <si>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</si>
  <si>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</si>
  <si>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</si>
  <si>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</si>
  <si>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</si>
  <si>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</si>
  <si>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</si>
  <si>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</si>
  <si>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</si>
  <si>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</si>
  <si>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</si>
  <si>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</si>
  <si>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</si>
  <si>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</si>
  <si>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</si>
  <si>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</si>
  <si>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</si>
  <si>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</si>
  <si>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</si>
  <si>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</si>
  <si>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</si>
  <si>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</si>
  <si>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</si>
  <si>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</si>
  <si>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</si>
  <si>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</si>
  <si>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</si>
  <si>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</si>
  <si>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</si>
  <si>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</si>
  <si>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</si>
  <si>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</si>
  <si>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</si>
  <si>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</si>
  <si>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</si>
  <si>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</si>
  <si>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</si>
  <si>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</si>
  <si>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</si>
  <si>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</si>
  <si>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</si>
  <si>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</si>
  <si>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</si>
  <si>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</si>
  <si>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</si>
  <si>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</si>
  <si>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</si>
  <si>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</si>
  <si>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</si>
  <si>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</si>
  <si>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</si>
  <si>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</si>
  <si>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</si>
  <si>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</si>
  <si>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</si>
  <si>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</si>
  <si>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</si>
  <si>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</si>
  <si>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</si>
  <si>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</si>
  <si>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</si>
  <si>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</si>
  <si>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</si>
  <si>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</si>
  <si>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</si>
  <si>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</si>
  <si>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</si>
  <si>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</si>
  <si>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</si>
  <si>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</si>
  <si>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</si>
  <si>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</si>
  <si>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</si>
  <si>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</si>
  <si>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</si>
  <si>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</si>
  <si>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</si>
  <si>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</si>
  <si>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</si>
  <si>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</si>
  <si>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</si>
  <si>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</si>
  <si>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</si>
  <si>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</si>
  <si>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</si>
  <si>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</si>
  <si>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</si>
  <si>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</si>
  <si>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</si>
  <si>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</si>
  <si>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</si>
  <si>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</si>
  <si>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</si>
  <si>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</si>
  <si>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</si>
  <si>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</si>
  <si>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</si>
  <si>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</si>
  <si>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</si>
  <si>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</si>
  <si>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</si>
  <si>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</si>
  <si>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</si>
  <si>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</si>
  <si>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</si>
  <si>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</si>
  <si>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</si>
  <si>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</si>
  <si>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</si>
  <si>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</si>
  <si>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</si>
  <si>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</si>
  <si>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</si>
  <si>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</si>
  <si>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</si>
  <si>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</si>
  <si>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</si>
  <si>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</si>
  <si>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</si>
  <si>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</si>
  <si>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</si>
  <si>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</si>
  <si>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</si>
  <si>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</si>
  <si>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</si>
  <si>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</si>
  <si>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</si>
  <si>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</si>
  <si>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</si>
  <si>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</si>
  <si>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</si>
  <si>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</si>
  <si>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</si>
  <si>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</si>
  <si>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</si>
  <si>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</si>
  <si>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</si>
  <si>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</si>
  <si>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</si>
  <si>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</si>
  <si>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</si>
  <si>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</si>
  <si>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</si>
  <si>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</si>
  <si>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</si>
  <si>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</si>
  <si>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</si>
  <si>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</si>
  <si>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</si>
  <si>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</si>
  <si>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</si>
  <si>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</si>
  <si>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</si>
  <si>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</si>
  <si>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</si>
  <si>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</si>
  <si>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</si>
  <si>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</si>
  <si>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</si>
  <si>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</si>
  <si>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</si>
  <si>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</si>
  <si>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</si>
  <si>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</si>
  <si>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</si>
  <si>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</si>
  <si>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</si>
  <si>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</si>
  <si>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</si>
  <si>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</si>
  <si>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</si>
  <si>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</si>
  <si>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</si>
  <si>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</si>
  <si>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</si>
  <si>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</si>
  <si>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</si>
  <si>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</si>
  <si>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</si>
  <si>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</si>
  <si>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</si>
  <si>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</si>
  <si>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</si>
  <si>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</si>
  <si>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</si>
  <si>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</si>
  <si>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</si>
  <si>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</si>
  <si>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</si>
  <si>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</si>
  <si>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</si>
  <si>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</si>
  <si>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</si>
  <si>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</si>
  <si>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</si>
  <si>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</si>
  <si>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</si>
  <si>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</si>
  <si>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</si>
  <si>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</si>
  <si>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</si>
  <si>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</si>
  <si>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</si>
  <si>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</si>
  <si>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</si>
  <si>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</si>
  <si>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</si>
  <si>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</si>
  <si>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</si>
  <si>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</si>
  <si>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</si>
  <si>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</si>
  <si>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</si>
  <si>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</si>
  <si>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</si>
  <si>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</si>
  <si>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</si>
  <si>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</si>
  <si>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</si>
  <si>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</si>
  <si>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</si>
  <si>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</si>
  <si>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</si>
  <si>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</si>
  <si>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</si>
  <si>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</si>
  <si>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</si>
  <si>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</si>
  <si>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</si>
  <si>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</si>
  <si>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</si>
  <si>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</si>
  <si>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</si>
  <si>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</si>
  <si>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</si>
  <si>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</si>
  <si>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</si>
  <si>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</si>
  <si>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</si>
  <si>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</si>
  <si>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</si>
  <si>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</si>
  <si>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</si>
  <si>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</si>
  <si>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</si>
  <si>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</si>
  <si>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</si>
  <si>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</si>
  <si>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</si>
  <si>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</si>
  <si>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</si>
  <si>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</si>
  <si>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</si>
  <si>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</si>
  <si>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</si>
  <si>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</si>
  <si>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</si>
  <si>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</si>
  <si>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</si>
  <si>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</si>
  <si>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</si>
  <si>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</si>
  <si>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</si>
  <si>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</si>
  <si>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</si>
  <si>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</si>
  <si>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</si>
  <si>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</si>
  <si>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</si>
  <si>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</si>
  <si>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</si>
  <si>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</si>
  <si>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</si>
  <si>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</si>
  <si>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</si>
  <si>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</si>
  <si>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</si>
  <si>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</si>
  <si>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</si>
  <si>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</si>
  <si>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</si>
  <si>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</si>
  <si>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</si>
  <si>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</si>
  <si>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</si>
  <si>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</si>
  <si>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</si>
  <si>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</si>
  <si>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</si>
  <si>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</si>
  <si>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</si>
  <si>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</si>
  <si>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</si>
  <si>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</si>
  <si>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</si>
  <si>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</si>
  <si>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</si>
  <si>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</si>
  <si>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</si>
  <si>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</si>
  <si>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</si>
  <si>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</si>
  <si>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</si>
  <si>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</si>
  <si>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</si>
  <si>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</si>
  <si>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</si>
  <si>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</si>
  <si>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</si>
  <si>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</si>
  <si>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</si>
  <si>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</si>
  <si>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</si>
  <si>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</si>
  <si>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</si>
  <si>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</si>
  <si>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</si>
  <si>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</si>
  <si>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</si>
  <si>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</si>
  <si>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</si>
  <si>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</si>
  <si>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</si>
  <si>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</si>
  <si>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</si>
  <si>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</si>
  <si>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</si>
  <si>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</si>
  <si>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</si>
  <si>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</si>
  <si>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</si>
  <si>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</si>
  <si>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</si>
  <si>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</si>
  <si>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</si>
  <si>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</si>
  <si>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</si>
  <si>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</si>
  <si>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</si>
  <si>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</si>
  <si>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</si>
  <si>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</si>
  <si>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</si>
  <si>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</si>
  <si>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</si>
  <si>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</si>
  <si>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</si>
  <si>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</si>
  <si>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</si>
  <si>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</si>
  <si>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</si>
  <si>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</si>
  <si>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</si>
  <si>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</si>
  <si>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</si>
  <si>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</si>
  <si>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</si>
  <si>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</si>
  <si>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</si>
  <si>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</si>
  <si>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</si>
  <si>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</si>
  <si>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</si>
  <si>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</si>
  <si>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</si>
  <si>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</si>
  <si>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</si>
  <si>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</si>
  <si>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</si>
  <si>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</si>
  <si>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</si>
  <si>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</si>
  <si>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</si>
  <si>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</si>
  <si>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</si>
  <si>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</si>
  <si>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</si>
  <si>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</si>
  <si>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</si>
  <si>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</si>
  <si>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</si>
  <si>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</si>
  <si>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</si>
  <si>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</si>
  <si>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</si>
  <si>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</si>
  <si>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</si>
  <si>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</si>
  <si>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</si>
  <si>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</si>
  <si>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</si>
  <si>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</si>
  <si>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</si>
  <si>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</si>
  <si>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</si>
  <si>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</si>
  <si>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</si>
  <si>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</si>
  <si>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</si>
  <si>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</si>
  <si>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</si>
  <si>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</si>
  <si>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</si>
  <si>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</si>
  <si>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</si>
  <si>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</si>
  <si>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</si>
  <si>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</si>
  <si>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</si>
  <si>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</si>
  <si>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</si>
  <si>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</si>
  <si>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</si>
  <si>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</si>
  <si>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</si>
  <si>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</si>
  <si>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</si>
  <si>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</si>
  <si>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</si>
  <si>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</si>
  <si>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</si>
  <si>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</si>
  <si>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</si>
  <si>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</si>
  <si>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</si>
  <si>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</si>
  <si>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</si>
  <si>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</si>
  <si>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</si>
  <si>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</si>
  <si>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</si>
  <si>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</si>
  <si>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</si>
  <si>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</si>
  <si>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</si>
  <si>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</si>
  <si>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</si>
  <si>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</si>
  <si>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</si>
  <si>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</si>
  <si>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</si>
  <si>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</si>
  <si>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</si>
  <si>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</si>
  <si>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</si>
  <si>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</si>
  <si>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</si>
  <si>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</si>
  <si>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</si>
  <si>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</si>
  <si>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</si>
  <si>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</si>
  <si>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</si>
  <si>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</si>
  <si>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</si>
  <si>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</si>
  <si>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</si>
  <si>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</si>
  <si>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</si>
  <si>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</si>
  <si>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</si>
  <si>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</si>
  <si>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</si>
  <si>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</si>
  <si>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</si>
  <si>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</si>
  <si>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</si>
  <si>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</si>
  <si>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</si>
  <si>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</si>
  <si>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</si>
  <si>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</si>
  <si>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</si>
  <si>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</si>
  <si>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</si>
  <si>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</si>
  <si>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</si>
  <si>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</si>
  <si>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</si>
  <si>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</si>
  <si>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</si>
  <si>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</si>
  <si>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</si>
  <si>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</si>
  <si>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</si>
  <si>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</si>
  <si>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</si>
  <si>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</si>
  <si>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</si>
  <si>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</si>
  <si>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</si>
  <si>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</si>
  <si>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</si>
  <si>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</si>
  <si>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</si>
  <si>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</si>
  <si>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</si>
  <si>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</si>
  <si>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</si>
  <si>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</si>
  <si>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</si>
  <si>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</si>
  <si>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</si>
  <si>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</si>
  <si>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</si>
  <si>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</si>
  <si>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</si>
  <si>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</si>
  <si>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</si>
  <si>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</si>
  <si>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</si>
  <si>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</si>
  <si>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</si>
  <si>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</si>
  <si>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</si>
  <si>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</si>
  <si>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</si>
  <si>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</si>
  <si>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</si>
  <si>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</si>
  <si>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</si>
  <si>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</si>
  <si>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</si>
  <si>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</si>
  <si>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</si>
  <si>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</si>
  <si>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</si>
  <si>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</si>
  <si>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</si>
  <si>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</si>
  <si>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</si>
  <si>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</si>
  <si>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</si>
  <si>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</si>
  <si>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</si>
  <si>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</si>
  <si>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</si>
  <si>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</si>
  <si>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</si>
  <si>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</si>
  <si>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</si>
  <si>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</si>
  <si>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</si>
  <si>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</si>
  <si>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</si>
  <si>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</si>
  <si>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</si>
  <si>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</si>
  <si>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</si>
  <si>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</si>
  <si>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</si>
  <si>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</si>
  <si>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</si>
  <si>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</si>
  <si>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</si>
  <si>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</si>
  <si>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</si>
  <si>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</si>
  <si>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</si>
  <si>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</si>
  <si>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</si>
  <si>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</si>
  <si>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</si>
  <si>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</si>
  <si>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</si>
  <si>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</si>
  <si>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</si>
  <si>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</si>
  <si>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</si>
  <si>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</si>
  <si>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</si>
  <si>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</si>
  <si>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</si>
  <si>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</si>
  <si>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</si>
  <si>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</si>
  <si>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</si>
  <si>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</si>
  <si>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</si>
  <si>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</si>
  <si>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</si>
  <si>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</si>
  <si>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</si>
  <si>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</si>
  <si>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</si>
  <si>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</si>
  <si>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</si>
  <si>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</si>
  <si>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</si>
  <si>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</si>
  <si>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</si>
  <si>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</si>
  <si>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</si>
  <si>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</si>
  <si>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</si>
  <si>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</si>
  <si>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</si>
  <si>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</si>
  <si>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</si>
  <si>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</si>
  <si>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</si>
  <si>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</si>
  <si>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</si>
  <si>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</si>
  <si>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</si>
  <si>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</si>
  <si>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</si>
  <si>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</si>
  <si>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</si>
  <si>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</si>
  <si>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</si>
  <si>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</si>
  <si>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</si>
  <si>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</si>
  <si>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</si>
  <si>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</si>
  <si>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</si>
  <si>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</si>
  <si>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</si>
  <si>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</si>
  <si>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</si>
  <si>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</si>
  <si>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</si>
  <si>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</si>
  <si>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</si>
  <si>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</si>
  <si>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</si>
  <si>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</si>
  <si>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</si>
  <si>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</si>
  <si>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</si>
  <si>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</si>
  <si>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</si>
  <si>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</si>
  <si>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</si>
  <si>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</si>
  <si>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</si>
  <si>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</si>
  <si>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</si>
  <si>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</si>
  <si>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</si>
  <si>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</si>
  <si>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</si>
  <si>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</si>
  <si>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</si>
  <si>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</si>
  <si>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</si>
  <si>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</si>
  <si>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</si>
  <si>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</si>
  <si>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</si>
  <si>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</si>
  <si>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</si>
  <si>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</si>
  <si>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</si>
  <si>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</si>
  <si>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</si>
  <si>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</si>
  <si>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</si>
  <si>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</si>
  <si>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</si>
  <si>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</si>
  <si>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</si>
  <si>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</si>
  <si>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</si>
  <si>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</si>
  <si>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</si>
  <si>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</si>
  <si>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</si>
  <si>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</si>
  <si>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</si>
  <si>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</si>
  <si>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</si>
  <si>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</si>
  <si>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</si>
  <si>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</si>
  <si>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</si>
  <si>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</si>
  <si>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</si>
  <si>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</si>
  <si>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</si>
  <si>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</si>
  <si>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</si>
  <si>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</si>
  <si>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</si>
  <si>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</si>
  <si>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</si>
  <si>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</si>
  <si>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</si>
  <si>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</si>
  <si>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</si>
  <si>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</si>
  <si>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</si>
  <si>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</si>
  <si>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</si>
  <si>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</si>
  <si>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</si>
  <si>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</si>
  <si>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</si>
  <si>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</si>
  <si>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</si>
  <si>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</si>
  <si>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</si>
  <si>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</si>
  <si>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</si>
  <si>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</si>
  <si>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</si>
  <si>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</si>
  <si>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</si>
  <si>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</si>
  <si>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</si>
  <si>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</si>
  <si>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</si>
  <si>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</si>
  <si>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</si>
  <si>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</si>
  <si>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</si>
  <si>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</si>
  <si>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</si>
  <si>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</si>
  <si>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</si>
  <si>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</si>
  <si>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</si>
  <si>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</si>
  <si>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</si>
  <si>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</si>
  <si>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</si>
  <si>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</si>
  <si>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</si>
  <si>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</si>
  <si>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</si>
  <si>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</si>
  <si>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</si>
  <si>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</si>
  <si>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</si>
  <si>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</si>
  <si>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</si>
  <si>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</si>
  <si>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</si>
  <si>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</si>
  <si>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</si>
  <si>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</si>
  <si>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</si>
  <si>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</si>
  <si>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</si>
  <si>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</si>
  <si>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</si>
  <si>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</si>
  <si>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</si>
  <si>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</si>
  <si>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</si>
  <si>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</si>
  <si>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</si>
  <si>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</si>
  <si>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</si>
  <si>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</si>
  <si>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</si>
  <si>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</si>
  <si>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</si>
  <si>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</si>
  <si>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</si>
  <si>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</si>
  <si>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</si>
  <si>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</si>
  <si>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</si>
  <si>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</si>
  <si>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</si>
  <si>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</si>
  <si>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</si>
  <si>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</si>
  <si>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</si>
  <si>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</si>
  <si>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</si>
  <si>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</si>
  <si>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</si>
  <si>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</si>
  <si>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</si>
  <si>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</si>
  <si>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</si>
  <si>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</si>
  <si>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</si>
  <si>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</si>
  <si>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</si>
  <si>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</si>
  <si>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</si>
  <si>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</si>
  <si>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</si>
  <si>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</si>
  <si>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</si>
  <si>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</si>
  <si>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</si>
  <si>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</si>
  <si>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</si>
  <si>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</si>
  <si>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</si>
  <si>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</si>
  <si>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</si>
  <si>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</si>
  <si>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</si>
  <si>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</si>
  <si>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</si>
  <si>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</si>
  <si>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</si>
  <si>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</si>
  <si>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</si>
  <si>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</si>
  <si>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</si>
  <si>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</si>
  <si>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</si>
  <si>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</si>
  <si>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</si>
  <si>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</si>
  <si>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</si>
  <si>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</si>
  <si>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</si>
  <si>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</si>
  <si>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</si>
  <si>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</si>
  <si>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</si>
  <si>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</si>
  <si>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</si>
  <si>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</si>
  <si>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</si>
  <si>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</si>
  <si>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</si>
  <si>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</si>
  <si>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</si>
  <si>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</si>
  <si>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</si>
  <si>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</si>
  <si>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</si>
  <si>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</si>
  <si>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</si>
  <si>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</si>
  <si>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</si>
  <si>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</si>
  <si>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</si>
  <si>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</si>
  <si>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</si>
  <si>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</si>
  <si>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</si>
  <si>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</si>
  <si>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</si>
  <si>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</si>
  <si>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</si>
  <si>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</si>
  <si>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</si>
  <si>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</si>
  <si>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</si>
  <si>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</si>
  <si>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</si>
  <si>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</si>
  <si>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</si>
  <si>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</si>
  <si>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</si>
  <si>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</si>
  <si>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</si>
  <si>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</si>
  <si>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</si>
  <si>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</si>
  <si>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</si>
  <si>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</si>
  <si>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</si>
  <si>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</si>
  <si>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</si>
  <si>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</si>
  <si>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</si>
  <si>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</si>
  <si>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</si>
  <si>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</si>
  <si>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</si>
  <si>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</si>
  <si>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</si>
  <si>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</si>
  <si>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</si>
  <si>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</si>
  <si>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</si>
  <si>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</si>
  <si>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</si>
  <si>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</si>
  <si>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</si>
  <si>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</si>
  <si>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</si>
  <si>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</si>
  <si>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</si>
  <si>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</si>
  <si>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</si>
  <si>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</si>
  <si>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</si>
  <si>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</si>
  <si>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</si>
  <si>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</si>
  <si>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</si>
  <si>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</si>
  <si>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</si>
  <si>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</si>
  <si>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</si>
  <si>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</si>
  <si>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</si>
  <si>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</si>
  <si>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</si>
  <si>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</si>
  <si>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</si>
  <si>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</si>
  <si>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</si>
  <si>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</si>
  <si>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</si>
  <si>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</si>
  <si>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</si>
  <si>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</si>
  <si>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</si>
  <si>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</si>
  <si>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</si>
  <si>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</si>
  <si>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</si>
  <si>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</si>
  <si>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</si>
  <si>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</si>
  <si>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</si>
  <si>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</si>
  <si>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</si>
  <si>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</si>
  <si>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</si>
  <si>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</si>
  <si>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</si>
  <si>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</si>
  <si>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</si>
  <si>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</si>
  <si>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</si>
  <si>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</si>
  <si>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</si>
  <si>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</si>
  <si>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</si>
  <si>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</si>
  <si>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</si>
  <si>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</si>
  <si>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</si>
  <si>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</si>
  <si>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</si>
  <si>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</si>
  <si>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</si>
  <si>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</si>
  <si>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</si>
  <si>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</si>
  <si>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</si>
  <si>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</si>
  <si>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</si>
  <si>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</si>
  <si>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</si>
  <si>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</si>
  <si>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</si>
  <si>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</si>
  <si>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</si>
  <si>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</si>
  <si>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</si>
  <si>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</si>
  <si>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</si>
  <si>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</si>
  <si>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</si>
  <si>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</si>
  <si>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</si>
  <si>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</si>
  <si>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</si>
  <si>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</si>
  <si>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</si>
  <si>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</si>
  <si>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</si>
  <si>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</si>
  <si>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</si>
  <si>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</si>
  <si>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</si>
  <si>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</si>
  <si>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</si>
  <si>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</si>
  <si>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</si>
  <si>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</si>
  <si>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</si>
  <si>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</si>
  <si>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</si>
  <si>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</si>
  <si>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</si>
  <si>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</si>
  <si>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</si>
  <si>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</si>
  <si>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</si>
  <si>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</si>
  <si>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</si>
  <si>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</si>
  <si>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</si>
  <si>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</si>
  <si>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</si>
  <si>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</si>
  <si>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</si>
  <si>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</si>
  <si>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</si>
  <si>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</si>
  <si>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</si>
  <si>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</si>
  <si>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</si>
  <si>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</si>
  <si>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</si>
  <si>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</si>
  <si>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</si>
  <si>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</si>
  <si>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</si>
  <si>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</si>
  <si>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</si>
  <si>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</si>
  <si>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</si>
  <si>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</si>
  <si>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</si>
  <si>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</si>
  <si>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</si>
  <si>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</si>
  <si>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</si>
  <si>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</si>
  <si>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</si>
  <si>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</si>
  <si>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</si>
  <si>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</si>
  <si>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</si>
  <si>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</si>
  <si>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</si>
  <si>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</si>
  <si>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</si>
  <si>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</si>
  <si>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</si>
  <si>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</si>
  <si>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</si>
  <si>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</si>
  <si>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</si>
  <si>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</si>
  <si>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</si>
  <si>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</si>
  <si>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</si>
  <si>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</si>
  <si>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</si>
  <si>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</si>
  <si>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</si>
  <si>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</si>
  <si>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</si>
  <si>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</si>
  <si>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</si>
  <si>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</si>
  <si>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</si>
  <si>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</si>
  <si>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</si>
  <si>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</si>
  <si>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</si>
  <si>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</si>
  <si>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</si>
  <si>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</si>
  <si>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</si>
  <si>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</si>
  <si>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</si>
  <si>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</si>
  <si>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</si>
  <si>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</si>
  <si>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</si>
  <si>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</si>
  <si>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</si>
  <si>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</si>
  <si>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</si>
  <si>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</si>
  <si>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</si>
  <si>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</si>
  <si>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</si>
  <si>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</si>
  <si>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</si>
  <si>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</si>
  <si>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</si>
  <si>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</si>
  <si>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</si>
  <si>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</si>
  <si>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</si>
  <si>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</si>
  <si>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</si>
  <si>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</si>
  <si>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</si>
  <si>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</si>
  <si>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</si>
  <si>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</si>
  <si>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</si>
  <si>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</si>
  <si>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</si>
  <si>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</si>
  <si>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</si>
  <si>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</si>
  <si>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</si>
  <si>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</si>
  <si>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</si>
  <si>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</si>
  <si>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</si>
  <si>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</si>
  <si>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</si>
  <si>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</si>
  <si>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</si>
  <si>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</si>
  <si>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</si>
  <si>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</si>
  <si>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</si>
  <si>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</si>
  <si>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</si>
  <si>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</si>
  <si>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</si>
  <si>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</si>
  <si>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</si>
  <si>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</si>
  <si>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</si>
  <si>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</si>
  <si>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</si>
  <si>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</si>
  <si>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</si>
  <si>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</si>
  <si>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</si>
  <si>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</si>
  <si>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</si>
  <si>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</si>
  <si>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</si>
  <si>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</si>
  <si>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</si>
  <si>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</si>
  <si>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</si>
  <si>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</si>
  <si>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</si>
  <si>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</si>
  <si>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</si>
  <si>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</si>
  <si>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</si>
  <si>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</si>
  <si>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</si>
  <si>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</si>
  <si>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</si>
  <si>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</si>
  <si>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</si>
  <si>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</si>
  <si>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</si>
  <si>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</si>
  <si>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</si>
  <si>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</si>
  <si>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</si>
  <si>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</si>
  <si>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</si>
  <si>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</si>
  <si>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</si>
  <si>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</si>
  <si>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</si>
  <si>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</si>
  <si>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</si>
  <si>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</si>
  <si>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</si>
  <si>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</si>
  <si>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</si>
  <si>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</si>
  <si>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</si>
  <si>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</si>
  <si>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</si>
  <si>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</si>
  <si>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</si>
  <si>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</si>
  <si>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</si>
  <si>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</si>
  <si>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</si>
  <si>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</si>
  <si>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</si>
  <si>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</si>
  <si>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</si>
  <si>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</si>
  <si>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</si>
  <si>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</si>
  <si>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</si>
  <si>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</si>
  <si>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</si>
  <si>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</si>
  <si>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</si>
  <si>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</si>
  <si>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</si>
  <si>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</si>
  <si>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</si>
  <si>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</si>
  <si>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</si>
  <si>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</si>
  <si>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</si>
  <si>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</si>
  <si>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</si>
  <si>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</si>
  <si>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</si>
  <si>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</si>
  <si>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</si>
  <si>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</si>
  <si>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</si>
  <si>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</si>
  <si>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</si>
  <si>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</si>
  <si>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</si>
  <si>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</si>
  <si>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</si>
  <si>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</si>
  <si>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</si>
  <si>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</si>
  <si>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</si>
  <si>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</si>
  <si>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</si>
  <si>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</si>
  <si>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</si>
  <si>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</si>
  <si>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</si>
  <si>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</si>
  <si>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</si>
  <si>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</si>
  <si>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</si>
  <si>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</si>
  <si>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</si>
  <si>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</si>
  <si>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</si>
  <si>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</si>
  <si>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</si>
  <si>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</si>
  <si>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</si>
  <si>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</si>
  <si>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</si>
  <si>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</si>
  <si>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</si>
  <si>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</si>
  <si>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</si>
  <si>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</si>
  <si>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</si>
  <si>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</si>
  <si>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</si>
  <si>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</si>
  <si>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</si>
  <si>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</si>
  <si>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</si>
  <si>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</si>
  <si>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</si>
  <si>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</si>
  <si>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</si>
  <si>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</si>
  <si>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</si>
  <si>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</si>
  <si>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</si>
  <si>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</si>
  <si>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</si>
  <si>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</si>
  <si>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</si>
  <si>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</si>
  <si>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</si>
  <si>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</si>
  <si>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</si>
  <si>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</si>
  <si>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</si>
  <si>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</si>
  <si>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</si>
  <si>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</si>
  <si>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</si>
  <si>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</si>
  <si>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</si>
  <si>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</si>
  <si>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</si>
  <si>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</si>
  <si>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</si>
  <si>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</si>
  <si>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</si>
  <si>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</si>
  <si>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</si>
  <si>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</si>
  <si>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</si>
  <si>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</si>
  <si>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</si>
  <si>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</si>
  <si>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</si>
  <si>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</si>
  <si>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</si>
  <si>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</si>
  <si>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</si>
  <si>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</si>
  <si>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</si>
  <si>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</si>
  <si>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</si>
  <si>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</si>
  <si>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</si>
  <si>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</si>
  <si>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</si>
  <si>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</si>
  <si>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</si>
  <si>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</si>
  <si>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</si>
  <si>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</si>
  <si>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</si>
  <si>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</si>
  <si>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</si>
  <si>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</si>
  <si>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</si>
  <si>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</si>
  <si>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</si>
  <si>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</si>
  <si>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</si>
  <si>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</si>
  <si>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</si>
  <si>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</si>
  <si>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</si>
  <si>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</si>
  <si>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</si>
  <si>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</si>
  <si>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</si>
  <si>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</si>
  <si>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</si>
  <si>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</si>
  <si>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</si>
  <si>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</si>
  <si>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</si>
  <si>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</si>
  <si>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</si>
  <si>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</si>
  <si>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</si>
  <si>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</si>
  <si>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</si>
  <si>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</si>
  <si>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</si>
  <si>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</si>
  <si>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</si>
  <si>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</si>
  <si>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</si>
  <si>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</si>
  <si>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</si>
  <si>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</si>
  <si>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</si>
  <si>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</si>
  <si>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</si>
  <si>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</si>
  <si>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</si>
  <si>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</si>
  <si>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</si>
  <si>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</si>
  <si>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</si>
  <si>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</si>
  <si>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</si>
  <si>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</si>
  <si>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</si>
  <si>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</si>
  <si>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</si>
  <si>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</si>
  <si>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</si>
  <si>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</si>
  <si>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</si>
  <si>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</si>
  <si>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</si>
  <si>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</si>
  <si>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</si>
  <si>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</si>
  <si>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</si>
  <si>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</si>
  <si>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</si>
  <si>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</si>
  <si>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</si>
  <si>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</si>
  <si>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</si>
  <si>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</si>
  <si>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</si>
  <si>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</si>
  <si>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</si>
  <si>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</si>
  <si>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</si>
  <si>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</si>
  <si>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</si>
  <si>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</si>
  <si>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</si>
  <si>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</si>
  <si>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</si>
  <si>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</si>
  <si>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</si>
  <si>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</si>
  <si>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</si>
  <si>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</si>
  <si>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</si>
  <si>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</si>
  <si>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</si>
  <si>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</si>
  <si>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</si>
  <si>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</si>
  <si>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</si>
  <si>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</si>
  <si>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</si>
  <si>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</si>
  <si>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</si>
  <si>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</si>
  <si>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</si>
  <si>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</si>
  <si>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</si>
  <si>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</si>
  <si>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</si>
  <si>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</si>
  <si>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</si>
  <si>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</si>
  <si>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</si>
  <si>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</si>
  <si>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</si>
  <si>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</si>
  <si>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</si>
  <si>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</si>
  <si>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</si>
  <si>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</si>
  <si>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</si>
  <si>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</si>
  <si>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</si>
  <si>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</si>
  <si>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</si>
  <si>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</si>
  <si>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</si>
  <si>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</si>
  <si>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</si>
  <si>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</si>
  <si>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</si>
  <si>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</si>
  <si>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</si>
  <si>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</si>
  <si>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</si>
  <si>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</si>
  <si>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</si>
  <si>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</si>
  <si>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</si>
  <si>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</si>
  <si>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</si>
  <si>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</si>
  <si>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</si>
  <si>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</si>
  <si>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</si>
  <si>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</si>
  <si>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</si>
  <si>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</si>
  <si>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</si>
  <si>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</si>
  <si>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</si>
  <si>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</si>
  <si>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</si>
  <si>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</si>
  <si>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</si>
  <si>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</si>
  <si>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</si>
  <si>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</si>
  <si>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</si>
  <si>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</si>
  <si>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</si>
  <si>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</si>
  <si>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</si>
  <si>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</si>
  <si>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</si>
  <si>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</si>
  <si>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</si>
  <si>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</si>
  <si>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</si>
  <si>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</si>
  <si>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</si>
  <si>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</si>
  <si>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</si>
  <si>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</si>
  <si>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</si>
  <si>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</si>
  <si>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</si>
  <si>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</si>
  <si>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</si>
  <si>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</si>
  <si>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</si>
  <si>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</si>
  <si>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</si>
  <si>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</si>
  <si>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</si>
  <si>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</si>
  <si>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</si>
  <si>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</si>
  <si>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</si>
  <si>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</si>
  <si>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</si>
  <si>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</si>
  <si>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</si>
  <si>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</si>
  <si>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</si>
  <si>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</si>
  <si>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</si>
  <si>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</si>
  <si>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</si>
  <si>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</si>
  <si>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</si>
  <si>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</si>
  <si>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</si>
  <si>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</si>
  <si>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</si>
  <si>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</si>
  <si>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</si>
  <si>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</si>
  <si>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</si>
  <si>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</si>
  <si>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</si>
  <si>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</si>
  <si>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</si>
  <si>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</si>
  <si>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</si>
  <si>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</si>
  <si>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</si>
  <si>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</si>
  <si>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</si>
  <si>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</si>
  <si>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</si>
  <si>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</si>
  <si>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</si>
  <si>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</si>
  <si>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</si>
  <si>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</si>
  <si>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</si>
  <si>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</si>
  <si>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</si>
  <si>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</si>
  <si>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</si>
  <si>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</si>
  <si>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</si>
  <si>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</si>
  <si>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</si>
  <si>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</si>
  <si>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</si>
  <si>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</si>
  <si>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</si>
  <si>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</si>
  <si>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</si>
  <si>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</si>
  <si>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</si>
  <si>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</si>
  <si>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</si>
  <si>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</si>
  <si>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</si>
  <si>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</si>
  <si>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</si>
  <si>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</si>
  <si>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</si>
  <si>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</si>
  <si>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</si>
  <si>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</si>
  <si>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</si>
  <si>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</si>
  <si>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</si>
  <si>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</si>
  <si>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</si>
  <si>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</si>
  <si>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</si>
  <si>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</si>
  <si>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</si>
  <si>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</si>
  <si>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</si>
  <si>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</si>
  <si>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</si>
  <si>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</si>
  <si>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</si>
  <si>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</si>
  <si>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</si>
  <si>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</si>
  <si>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</si>
  <si>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</si>
  <si>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</si>
  <si>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</si>
  <si>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</si>
  <si>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</si>
  <si>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</si>
  <si>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</si>
  <si>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</si>
  <si>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</si>
  <si>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</si>
  <si>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</si>
  <si>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</si>
  <si>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</si>
  <si>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</si>
  <si>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</si>
  <si>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</si>
  <si>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</si>
  <si>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</si>
  <si>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</si>
  <si>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</si>
  <si>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</si>
  <si>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</si>
  <si>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</si>
  <si>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</si>
  <si>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</si>
  <si>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</si>
  <si>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</si>
  <si>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</si>
  <si>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</si>
  <si>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</si>
  <si>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</si>
  <si>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</si>
  <si>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</si>
  <si>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</si>
  <si>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</si>
  <si>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</si>
  <si>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</si>
  <si>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</si>
  <si>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</si>
  <si>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</si>
  <si>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</si>
  <si>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</si>
  <si>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</si>
  <si>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</si>
  <si>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</si>
  <si>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</si>
  <si>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</si>
  <si>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</si>
  <si>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</si>
  <si>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</si>
  <si>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</si>
  <si>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</si>
  <si>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</si>
  <si>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</si>
  <si>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</si>
  <si>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</si>
  <si>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</si>
  <si>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</si>
  <si>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</si>
  <si>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</si>
  <si>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</si>
  <si>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</si>
  <si>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</si>
  <si>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</si>
  <si>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</si>
  <si>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</si>
  <si>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</si>
  <si>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</si>
  <si>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</si>
  <si>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</si>
  <si>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</si>
  <si>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</si>
  <si>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</si>
  <si>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</si>
  <si>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</si>
  <si>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</si>
  <si>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</si>
  <si>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</si>
  <si>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</si>
  <si>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</si>
  <si>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</si>
  <si>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</si>
  <si>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</si>
  <si>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</si>
  <si>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</si>
  <si>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</si>
  <si>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</si>
  <si>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</si>
  <si>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</si>
  <si>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</si>
  <si>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</si>
  <si>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</si>
  <si>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</si>
  <si>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</si>
  <si>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</si>
  <si>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</si>
  <si>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</si>
  <si>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</si>
  <si>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</si>
  <si>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</si>
  <si>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</si>
  <si>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</si>
  <si>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</si>
  <si>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</si>
  <si>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</si>
  <si>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</si>
  <si>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</si>
  <si>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</si>
  <si>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</si>
  <si>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</si>
  <si>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</si>
  <si>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</si>
  <si>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</si>
  <si>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</si>
  <si>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</si>
  <si>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</si>
  <si>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</si>
  <si>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</si>
  <si>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</si>
  <si>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</si>
  <si>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</si>
  <si>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</si>
  <si>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</si>
  <si>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</si>
  <si>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</si>
  <si>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</si>
  <si>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</si>
  <si>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</si>
  <si>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</si>
  <si>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</si>
  <si>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</si>
  <si>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</si>
  <si>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</si>
  <si>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</si>
  <si>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</si>
  <si>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</si>
  <si>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</si>
  <si>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</si>
  <si>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</si>
  <si>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</si>
  <si>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</si>
  <si>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</si>
  <si>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</si>
  <si>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</si>
  <si>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</si>
  <si>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</si>
  <si>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</si>
  <si>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</si>
  <si>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</si>
  <si>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</si>
  <si>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</si>
  <si>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</si>
  <si>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</si>
  <si>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</si>
  <si>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</si>
  <si>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</si>
  <si>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</si>
  <si>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</si>
  <si>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</si>
  <si>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</si>
  <si>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</si>
  <si>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</si>
  <si>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</si>
  <si>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</si>
  <si>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</si>
  <si>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</si>
  <si>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</si>
  <si>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</si>
  <si>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</si>
  <si>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</si>
  <si>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</si>
  <si>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</si>
  <si>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</si>
  <si>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</si>
  <si>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</si>
  <si>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</si>
  <si>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</si>
  <si>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</si>
  <si>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</si>
  <si>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</si>
  <si>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</si>
  <si>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</si>
  <si>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</si>
  <si>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</si>
  <si>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</si>
  <si>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</si>
  <si>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</si>
  <si>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</si>
  <si>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</si>
  <si>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</si>
  <si>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</si>
  <si>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</si>
  <si>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</si>
  <si>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</si>
  <si>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</si>
  <si>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</si>
  <si>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</si>
  <si>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</si>
  <si>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</si>
  <si>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</si>
  <si>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</si>
  <si>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</si>
  <si>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</si>
  <si>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</si>
  <si>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</si>
  <si>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</si>
  <si>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</si>
  <si>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</si>
  <si>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</si>
  <si>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</si>
  <si>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</si>
  <si>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</si>
  <si>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</si>
  <si>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</si>
  <si>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</si>
  <si>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</si>
  <si>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</si>
  <si>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</si>
  <si>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</si>
  <si>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</si>
  <si>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</si>
  <si>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</si>
  <si>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</si>
  <si>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</si>
  <si>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</si>
  <si>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</si>
  <si>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</si>
  <si>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</si>
  <si>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</si>
  <si>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</si>
  <si>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</si>
  <si>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</si>
  <si>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</si>
  <si>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</si>
  <si>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</si>
  <si>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</si>
  <si>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</si>
  <si>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</si>
  <si>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</si>
  <si>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</si>
  <si>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</si>
  <si>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</si>
  <si>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</si>
  <si>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</si>
  <si>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</si>
  <si>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</si>
  <si>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</si>
  <si>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</si>
  <si>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</si>
  <si>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</si>
  <si>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</si>
  <si>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</si>
  <si>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</si>
  <si>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</si>
  <si>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</si>
  <si>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</si>
  <si>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</si>
  <si>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</si>
  <si>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</si>
  <si>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</si>
  <si>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</si>
  <si>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</si>
  <si>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</si>
  <si>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</si>
  <si>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</si>
  <si>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</si>
  <si>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</si>
  <si>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</si>
  <si>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</si>
  <si>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</si>
  <si>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</si>
  <si>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</si>
  <si>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</si>
  <si>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</si>
  <si>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</si>
  <si>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</si>
  <si>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</si>
  <si>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</si>
  <si>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</si>
  <si>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</si>
  <si>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</si>
  <si>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</si>
  <si>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</si>
  <si>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</si>
  <si>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</si>
  <si>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</si>
  <si>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</si>
  <si>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</si>
  <si>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</si>
  <si>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</si>
  <si>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</si>
  <si>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</si>
  <si>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</si>
  <si>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</si>
  <si>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</si>
  <si>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</si>
  <si>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</si>
  <si>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</si>
  <si>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</si>
  <si>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</si>
  <si>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</si>
  <si>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</si>
  <si>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</si>
  <si>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</si>
  <si>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</si>
  <si>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</si>
  <si>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</si>
  <si>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</si>
  <si>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</si>
  <si>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</si>
  <si>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</si>
  <si>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</si>
  <si>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</si>
  <si>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</si>
  <si>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</si>
  <si>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</si>
  <si>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</si>
  <si>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</si>
  <si>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</si>
  <si>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</si>
  <si>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</si>
  <si>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</si>
  <si>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</si>
  <si>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</si>
  <si>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</si>
  <si>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</si>
  <si>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</si>
  <si>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</si>
  <si>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</si>
  <si>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</si>
  <si>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</si>
  <si>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</si>
  <si>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</si>
  <si>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</si>
  <si>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</si>
  <si>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</si>
  <si>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</si>
  <si>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</si>
  <si>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</si>
  <si>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</si>
  <si>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</si>
  <si>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</si>
  <si>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</si>
  <si>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</si>
  <si>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</si>
  <si>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</si>
  <si>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</si>
  <si>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</si>
  <si>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</si>
  <si>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</si>
  <si>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</si>
  <si>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</si>
  <si>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</si>
  <si>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</si>
  <si>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</si>
  <si>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</si>
  <si>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</si>
  <si>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</si>
  <si>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</si>
  <si>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</si>
  <si>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</si>
  <si>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</si>
  <si>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</si>
  <si>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</si>
  <si>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</si>
  <si>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</si>
  <si>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</si>
  <si>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</si>
  <si>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</si>
  <si>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</si>
  <si>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</si>
  <si>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</si>
  <si>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</si>
  <si>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</si>
  <si>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</si>
  <si>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</si>
  <si>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</si>
  <si>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</si>
  <si>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</si>
  <si>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</si>
  <si>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</si>
  <si>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</si>
  <si>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</si>
  <si>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</si>
  <si>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</si>
  <si>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</si>
  <si>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</si>
  <si>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</si>
  <si>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</si>
  <si>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</si>
  <si>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</si>
  <si>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</si>
  <si>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</si>
  <si>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</si>
  <si>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</si>
  <si>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</si>
  <si>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</si>
  <si>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</si>
  <si>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</si>
  <si>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</si>
  <si>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</si>
  <si>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</si>
  <si>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</si>
  <si>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</si>
  <si>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</si>
  <si>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</si>
  <si>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</si>
  <si>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</si>
  <si>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</si>
  <si>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</si>
  <si>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</si>
  <si>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</si>
  <si>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</si>
  <si>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</si>
  <si>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</si>
  <si>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</si>
  <si>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</si>
  <si>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</si>
  <si>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</si>
  <si>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</si>
  <si>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</si>
  <si>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</si>
  <si>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</si>
  <si>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</si>
  <si>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</si>
  <si>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</si>
  <si>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</si>
  <si>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</si>
  <si>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</si>
  <si>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</si>
  <si>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</si>
  <si>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</si>
  <si>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</si>
  <si>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</si>
  <si>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</si>
  <si>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</si>
  <si>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</si>
  <si>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</si>
  <si>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</si>
  <si>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</si>
  <si>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</si>
  <si>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</si>
  <si>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</si>
  <si>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</si>
  <si>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</si>
  <si>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</si>
  <si>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</si>
  <si>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</si>
  <si>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</si>
  <si>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</si>
  <si>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</si>
  <si>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</si>
  <si>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</si>
  <si>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</si>
  <si>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</si>
  <si>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</si>
  <si>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</si>
  <si>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</si>
  <si>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</si>
  <si>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</si>
  <si>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</si>
  <si>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</si>
  <si>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</si>
  <si>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</si>
  <si>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</si>
  <si>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</si>
  <si>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</si>
  <si>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</si>
  <si>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</si>
  <si>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</si>
  <si>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</si>
  <si>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</si>
  <si>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</si>
  <si>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</si>
  <si>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</si>
  <si>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</si>
  <si>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</si>
  <si>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</si>
  <si>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</si>
  <si>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</si>
  <si>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</si>
  <si>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</si>
  <si>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</si>
  <si>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</si>
  <si>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</si>
  <si>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</si>
  <si>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</si>
  <si>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</si>
  <si>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</si>
  <si>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</si>
  <si>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</si>
  <si>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</si>
  <si>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</si>
  <si>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</si>
  <si>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</si>
  <si>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</si>
  <si>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</si>
  <si>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</si>
  <si>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</si>
  <si>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</si>
  <si>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</si>
  <si>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</si>
  <si>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</si>
  <si>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</si>
  <si>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</si>
  <si>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</si>
  <si>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</si>
  <si>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</si>
  <si>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</si>
  <si>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</si>
  <si>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</si>
  <si>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</si>
  <si>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</si>
  <si>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</si>
  <si>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</si>
  <si>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</si>
  <si>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</si>
  <si>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</si>
  <si>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</si>
  <si>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</si>
  <si>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</si>
  <si>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</si>
  <si>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</si>
  <si>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</si>
  <si>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</si>
  <si>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</si>
  <si>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</si>
  <si>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</si>
  <si>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</si>
  <si>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</si>
  <si>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</si>
  <si>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</si>
  <si>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</si>
  <si>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</si>
  <si>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</si>
  <si>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</si>
  <si>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</si>
  <si>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</si>
  <si>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</si>
  <si>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</si>
  <si>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</si>
  <si>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</si>
  <si>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</si>
  <si>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</si>
  <si>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</si>
  <si>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</si>
  <si>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</si>
  <si>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</si>
  <si>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</si>
  <si>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</si>
  <si>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</si>
  <si>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</si>
  <si>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</si>
  <si>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</si>
  <si>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</si>
  <si>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</si>
  <si>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</si>
  <si>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</si>
  <si>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</si>
  <si>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</si>
  <si>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</si>
  <si>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</si>
  <si>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</si>
  <si>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</si>
  <si>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</si>
  <si>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</si>
  <si>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</si>
  <si>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</si>
  <si>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</si>
  <si>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</si>
  <si>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</si>
  <si>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</si>
  <si>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</si>
  <si>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</si>
  <si>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</si>
  <si>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</si>
  <si>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</si>
  <si>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</si>
  <si>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</si>
  <si>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</si>
  <si>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</si>
  <si>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</si>
  <si>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</si>
  <si>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</si>
  <si>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</si>
  <si>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</si>
  <si>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</si>
  <si>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</si>
  <si>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</si>
  <si>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</si>
  <si>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</si>
  <si>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</si>
  <si>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</si>
  <si>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</si>
  <si>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</si>
  <si>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</si>
  <si>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</si>
  <si>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</si>
  <si>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</si>
  <si>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</si>
  <si>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</si>
  <si>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</si>
  <si>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</si>
  <si>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</si>
  <si>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</si>
  <si>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</si>
  <si>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</si>
  <si>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</si>
  <si>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</si>
  <si>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</si>
  <si>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</si>
  <si>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</si>
  <si>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</si>
  <si>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</si>
  <si>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</si>
  <si>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</si>
  <si>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</si>
  <si>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</si>
  <si>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</si>
  <si>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</si>
  <si>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</si>
  <si>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</si>
  <si>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</si>
  <si>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</si>
  <si>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</si>
  <si>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</si>
  <si>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</si>
  <si>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</si>
  <si>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</si>
  <si>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</si>
  <si>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</si>
  <si>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</si>
  <si>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</si>
  <si>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</si>
  <si>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</si>
  <si>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</si>
  <si>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</si>
  <si>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</si>
  <si>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</si>
  <si>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</si>
  <si>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</si>
  <si>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</si>
  <si>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</si>
  <si>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</si>
  <si>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</si>
  <si>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</si>
  <si>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</si>
  <si>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</si>
  <si>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</si>
  <si>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</si>
  <si>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</si>
  <si>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</si>
  <si>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</si>
  <si>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</si>
  <si>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</si>
  <si>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</si>
  <si>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</si>
  <si>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</si>
  <si>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</si>
  <si>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</si>
  <si>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</si>
  <si>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</si>
  <si>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</si>
  <si>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</si>
  <si>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</si>
  <si>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</si>
  <si>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</si>
  <si>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</si>
  <si>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</si>
  <si>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</si>
  <si>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</si>
  <si>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</si>
  <si>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</si>
  <si>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</si>
  <si>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</si>
  <si>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</si>
  <si>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</si>
  <si>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</si>
  <si>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</si>
  <si>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</si>
  <si>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</si>
  <si>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</si>
  <si>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</si>
  <si>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</si>
  <si>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</si>
  <si>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</si>
  <si>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</si>
  <si>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</si>
  <si>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</si>
  <si>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</si>
  <si>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</si>
  <si>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</si>
  <si>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</si>
  <si>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</si>
  <si>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</si>
  <si>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</si>
  <si>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</si>
  <si>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</si>
  <si>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</si>
  <si>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</si>
  <si>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</si>
  <si>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</si>
  <si>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</si>
  <si>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</si>
  <si>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</si>
  <si>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</si>
  <si>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</si>
  <si>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</si>
  <si>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</si>
  <si>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</si>
  <si>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</si>
  <si>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</si>
  <si>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</si>
  <si>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</si>
  <si>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</si>
  <si>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</si>
  <si>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</si>
  <si>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</si>
  <si>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</si>
  <si>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</si>
  <si>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</si>
  <si>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</si>
  <si>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</si>
  <si>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</si>
  <si>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</si>
  <si>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</si>
  <si>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</si>
  <si>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</si>
  <si>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</si>
  <si>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</si>
  <si>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</si>
  <si>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</si>
  <si>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</si>
  <si>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</si>
  <si>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</si>
  <si>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</si>
  <si>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</si>
  <si>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</si>
  <si>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</si>
  <si>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</si>
  <si>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</si>
  <si>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</si>
  <si>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</si>
  <si>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</si>
  <si>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</si>
  <si>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</si>
  <si>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</si>
  <si>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</si>
  <si>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</si>
  <si>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</si>
  <si>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</si>
  <si>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</si>
  <si>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</si>
  <si>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</si>
  <si>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</si>
  <si>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</si>
  <si>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</si>
  <si>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</si>
  <si>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</si>
  <si>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</si>
  <si>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</si>
  <si>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</si>
  <si>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</si>
  <si>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</si>
  <si>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</si>
  <si>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</si>
  <si>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</si>
  <si>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</si>
  <si>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</si>
  <si>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</si>
  <si>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</si>
  <si>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</si>
  <si>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</si>
  <si>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</si>
  <si>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</si>
  <si>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</si>
  <si>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</si>
  <si>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</si>
  <si>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</si>
  <si>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</si>
  <si>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</si>
  <si>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</si>
  <si>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</si>
  <si>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</si>
  <si>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</si>
  <si>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</si>
  <si>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</si>
  <si>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</si>
  <si>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</si>
  <si>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</si>
  <si>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</si>
  <si>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</si>
  <si>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</si>
  <si>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</si>
  <si>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</si>
  <si>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</si>
  <si>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</si>
  <si>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</si>
  <si>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</si>
  <si>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</si>
  <si>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No</t>
  </si>
  <si>
    <t>Competitive Round</t>
  </si>
  <si>
    <t>Brian McGeady</t>
  </si>
  <si>
    <t>9349 WaterStone Blvd.</t>
  </si>
  <si>
    <t>Cincinnati</t>
  </si>
  <si>
    <t>brian.mcgeady@mvg.com</t>
  </si>
  <si>
    <t>Water Tower Park Apartments</t>
  </si>
  <si>
    <t>TBD</t>
  </si>
  <si>
    <t>Jones County</t>
  </si>
  <si>
    <t>Preston Hawkins</t>
  </si>
  <si>
    <t>Chairman of Board of Comissioners</t>
  </si>
  <si>
    <t>166 Industrial Boulevard</t>
  </si>
  <si>
    <t>Family</t>
  </si>
  <si>
    <t>1 MV Residential Construction, Inc.</t>
  </si>
  <si>
    <t>2 Miller-Valentine Apartments III LLC</t>
  </si>
  <si>
    <t>Authorized Signer</t>
  </si>
  <si>
    <t>dave.liette@mvg.com</t>
  </si>
  <si>
    <t>Miller-Valentine Apartments III LLC</t>
  </si>
  <si>
    <t>9349 Water Stone Blvd</t>
  </si>
  <si>
    <t>OH 2</t>
  </si>
  <si>
    <t>Brian Flanagan</t>
  </si>
  <si>
    <t>2101 Rexford Road, Suite 375W</t>
  </si>
  <si>
    <t>Regional Director - Southeast</t>
  </si>
  <si>
    <t>Charlotte</t>
  </si>
  <si>
    <t>brian.flanagan@rbc.com</t>
  </si>
  <si>
    <t>RBC Capital Markets</t>
  </si>
  <si>
    <t>MV Residential Construction, Inc.</t>
  </si>
  <si>
    <t>Senior Developer</t>
  </si>
  <si>
    <t>Matt Jackman</t>
  </si>
  <si>
    <t>matt.jackman@mvg.com</t>
  </si>
  <si>
    <t>Randy J. Humbert</t>
  </si>
  <si>
    <t>President</t>
  </si>
  <si>
    <t>randy.humbert@mvg.com</t>
  </si>
  <si>
    <t>MV Residential Property Management, Inc.</t>
  </si>
  <si>
    <t>James R. Fenwick</t>
  </si>
  <si>
    <t>jim.fenwick@mvg.com</t>
  </si>
  <si>
    <t>Arnall Golden Gregory</t>
  </si>
  <si>
    <t>Jeffrey Adams</t>
  </si>
  <si>
    <t>171 17th Street NW Suite 2100</t>
  </si>
  <si>
    <t>Partner</t>
  </si>
  <si>
    <t>Jeffrey.Adams@agg.com</t>
  </si>
  <si>
    <t>Flagel, Huber, Flagel &amp; Co.</t>
  </si>
  <si>
    <t>Randall S. Kuvin</t>
  </si>
  <si>
    <t>3400 South Dixie Drive</t>
  </si>
  <si>
    <t>Dayton</t>
  </si>
  <si>
    <t>rkuvin@fhf-cpa.com</t>
  </si>
  <si>
    <t>Miller Player and Associates Architects and Planners, LTD</t>
  </si>
  <si>
    <t>Buddy Player</t>
  </si>
  <si>
    <t>1010 East North Street, Suite A</t>
  </si>
  <si>
    <t>tplayer@millerplayer.com</t>
  </si>
  <si>
    <t>For Profit</t>
  </si>
  <si>
    <t>Deferred Developer Fee</t>
  </si>
  <si>
    <t>Neither</t>
  </si>
  <si>
    <t>Deferred Developer Fee Note</t>
  </si>
  <si>
    <t>Historic Consultant</t>
  </si>
  <si>
    <t>Noise/Asbestos Study</t>
  </si>
  <si>
    <t>Wetland/Endangered Species Study</t>
  </si>
  <si>
    <t>Construction Inspections (Lender)</t>
  </si>
  <si>
    <t>3+ Story</t>
  </si>
  <si>
    <t>Electric Heat Pump</t>
  </si>
  <si>
    <t>Bank Fees</t>
  </si>
  <si>
    <t>Agree</t>
  </si>
  <si>
    <t>Bowen National Research - Nathan Young</t>
  </si>
  <si>
    <t>4 Months</t>
  </si>
  <si>
    <t>United Consulting</t>
  </si>
  <si>
    <t>Gray Highway</t>
  </si>
  <si>
    <t>Contract/Option</t>
  </si>
  <si>
    <t>Water Tower Park Apartments, LLC</t>
  </si>
  <si>
    <t>Tri-County EMC</t>
  </si>
  <si>
    <t>City of Gray</t>
  </si>
  <si>
    <t>Gazebo</t>
  </si>
  <si>
    <t>On-site laundry</t>
  </si>
  <si>
    <t>Computer Station</t>
  </si>
  <si>
    <t>Fitness Center</t>
  </si>
  <si>
    <t>Outdoor Seating</t>
  </si>
  <si>
    <t>Qualified with Conditions</t>
  </si>
  <si>
    <t>Non-minority</t>
  </si>
  <si>
    <t>Earth Craft House</t>
  </si>
  <si>
    <t>Stable Communities &lt; 20%</t>
  </si>
  <si>
    <t>Georgia Institute for Community Housing Community</t>
  </si>
  <si>
    <t>Pass</t>
  </si>
  <si>
    <t>The Water Tower Park Apartments (“the Apartments”) development is a proposed 48-unit project to be located in Gray, Georgia. It will be a part of a larger mixed use development called Water Tower Park. A new Senior Center will be built adjacent to the subject site, and two medical office buildings are planned on nearby parcels.</t>
  </si>
  <si>
    <t>The development will consist of two separate three-story garden style residential buildings, as well as a community clubhouse/leasing center. The Apartments will be set aside as a “family” project, but will offer amenities catering to both families and seniors due to the diverse renter population. The property will contain 6 one-bedroom units with 750 sq. ft., 26 two-bedroom units with 975 sq. ft., and 16 three-bedroom units with 1,105 sq ft. The units will be targeted to those persons at 50% and 60% of the AMI, with net rents ranging from $404 - $475 for one-bedroom units, $476 - $550 for two-bedroom units, and $541 – $625 for three-bedroom units.</t>
  </si>
  <si>
    <t>Apart from housing, other needs of the tenants will be uniquely met.  The community building will afford residents the opportunity to participate in many social and recreational activities planned and overseen by MV Residential Property Management, Inc., the management company.  Some of the activities will include potluck meals, utilizing the kitchen area and multipurpose room, birthday parties for residents, holiday parties, and other scheduled events.  The community building will contain a Multi-Purpose Room furnished with several tables, chairs, and couches, as well as a kitchenette for the residents’ use. There will also be a Computer Workstation with desktop computers, printers, and high-speed internet access. In addition, the community building will offer a large Fitness Room with new equipment.</t>
  </si>
  <si>
    <t>Outdoor activities will take place in the recreational areas located on the property. There will be a playground area with equipment for the children located adjacent to the clubhouse fitness center allowing for easy access and supervision.  An outdoor gathering area with a covered gazebo and outdoor seating will also provided for the residents.</t>
  </si>
  <si>
    <t>Jones County offers businesses, families, and retirees an attractive and affordable lifestyle. Gray is known for its safe streets, green space, abundant wildlife, and excellent schools. There are numerous recreational opportunities available in Jones County, as well. With one-fourth of the county being in wildlife refuges, hunting, fishing, and camping are the popular forms of recreation. The Ocmulgee River, which serves as the county line between Jones and Monroe County, is a tremendous natural resource for fishing, swimming, canoeing and camping. The Miller Lake recreational area provides many recreational amenities and is located within the Oconee National Forest. Piedmont National Wildlife Refuge is a 35,000 acre wildlife management area northwest of Gray off of Highway 11.</t>
  </si>
  <si>
    <t>Given the high quality of life in the area, the proximity to amenities, and the relative lack of affordable rental housing options, the Water Tower Park Apartments is positioned to be a successful multifamily development.</t>
  </si>
  <si>
    <t>2026-A Ayrsley Town Boulevard</t>
  </si>
  <si>
    <t>MF</t>
  </si>
  <si>
    <t>For full explanation of site control, please see site control narrative located in tab 12 of this application.</t>
  </si>
  <si>
    <t>For full explanation of site access, please see site access narrative located in tab 13 of this application.</t>
  </si>
  <si>
    <t xml:space="preserve">There are no recognized environmental conditions located at the site according to the environmental study performed by United Consulting, contained in this application. </t>
  </si>
  <si>
    <t>The project will not be utilizing natural gas at the site, therefore this utility is not applicable.</t>
  </si>
  <si>
    <t>For evidence of local support, please see local support memo located in tab 16 of this application.</t>
  </si>
  <si>
    <t>As evidenced in tab 29, the project will comply with the Earthcraft Multifamily Program.</t>
  </si>
  <si>
    <t>Water Tower Park Apartments in this application.  The proposed project team was deemed qualified subject to the condition of submittal and approval of project specific information.</t>
  </si>
  <si>
    <t xml:space="preserve">Water Tower Park Apartments was not identified in the May 12 qualification determination submission to the DCA, therefore an update is being presented with project specific information for </t>
  </si>
  <si>
    <t>The project team will market units to special needs tenants and the appropriate plan(s) will be submitted prior to the issuance of 8609's.</t>
  </si>
  <si>
    <t xml:space="preserve">As further evidence of the support for this project, the local county transit authority has agreed to create a dedicated bus stop specifically for this project.  Please see supporting letter from Jones County Administrator and location map located in tab 25 of this application. </t>
  </si>
  <si>
    <t>+/- 7.9</t>
  </si>
  <si>
    <t>currently, and on what basis this Application is made) or the City (as it may be in the future).  Please see the Site Control Narrative included in Tab 12 of this Application for further detail.</t>
  </si>
  <si>
    <t xml:space="preserve">“Project Location” above, the total acreage listed is +/- 7.9 acres.  This includes the primary development area of +/-4 acres plus the additional +/-3.9 acres required for open space under the R-3 zoning.  The inclusion of the additional “option land” is intended to allow the proposed development to comply with R-3 zoning whether under the jurisdiction of the County (as it is </t>
  </si>
  <si>
    <t>Citi Community Capital</t>
  </si>
  <si>
    <t>RBC Tax Credit Equity, LLC</t>
  </si>
  <si>
    <t xml:space="preserve">There are no federal sources of financing to be considered.  </t>
  </si>
  <si>
    <t>As mentioned above, the apartments will be located in the City of Gray, the county seat of Jones County, Georgia. Jones County is situated in the northeastern section of Middle Georgia, between Macon and Milledgeville. It is approximately 15 miles from Macon, 20 miles from Milledgeville, and 80 miles from Hartsfield-Jackson Atlanta International Airport, accessed by Interstate 75 and Interstate 16. Gray has a total population of approximately 2,100 as of the 2010 Census. The population of Jones County is approximately 30,000. Gray is part of the Macon Metropolitan Statistical Area.</t>
  </si>
  <si>
    <t xml:space="preserve">The City of Gray is in need of affordable housing to meet the needs of the community and surrounding area.  Gray has been designated by the Georgia Department of Community Affairs as one of the Community Initiative Areas, which places emphasis on the need for quality affordable housing in this area.  There have been no family projects awarded in at least the past four years, which has created a housing gap in this growing community/county.  According to the market study performed by Bowen National Research, there are no affordable housing options within 10 miles.  In fact, the closest affordable housing option is 13.9 miles away in the City of Macon.  According to Bowen "The overall capture rate of 13.3% for the subject development is considered an excellent capture rate."  Additionally, the seven comparable LIHTC properties in the market study have a combined occupancy rate of 98.3%.  This project will meet the housing needs of the community and surrounding area.  </t>
  </si>
  <si>
    <t>David R. Liette</t>
  </si>
  <si>
    <t>DCA OAH Utility Allowance Schedule</t>
  </si>
  <si>
    <t>Miller-Valentine Apartments III LLC, MV Residential Construction, Inc. &amp; MV Residential Property Management, Inc. are affiliates and are part of the same organization, Miller-Valentine Operations, Inc.  The collection of these and other corporate commercial entities are typically referred to as the Miller-Valentine Group (MVG) of companies for branding purposes.  The MVG group of companies have been in existence since the 1960s.</t>
  </si>
  <si>
    <t>The development team has experience in similar construction in other areas of the southeast and Midwest.  Estimates were based on common estimating techniques and applied to this specific structure based on similar final building and preliminary site plans.  In fact, the construction hard costs were derived from a takeoff of a similar project design being developed and nearing construction commencement in Gallatin, Sumner County, Tennessee.  This is not only a similar product to the proposed development, but it is similar in scope as well as it contains 48 units.  Additionally, the project architect, Miller Player &amp; Associates, for the comparable development is identical to that of the proposed Water Tower Park Apartments.</t>
  </si>
  <si>
    <t>Please see tab 5 for methodology used for the real estate tax budget, which was based on a comparable property in the City of Gray, GA.  An insurance quote can be found in tab 5 as well.</t>
  </si>
  <si>
    <t>According to the market study performed by Bowen National Research (BNR), a market exists for Water Tower Park Apartments.  BNR had no additional recommendations or suggested modifications for the proposed site.</t>
  </si>
  <si>
    <t>the uniform release forms, which were PA, IA, MI, &amp; OH.  These remaining release forms should either be in transit or received by the DCA at this time.</t>
  </si>
  <si>
    <t xml:space="preserve">The DCA has confirmed receipt of the uniform release forms from KY, TN, NC, &amp; IN as of June 8, 2011.  The development team has contacted the other states that had yet to send in </t>
  </si>
  <si>
    <t>302, 303.02, 301.02, 301.01</t>
  </si>
  <si>
    <t>2011-030</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</si>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</sst>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8" fillId="5" borderId="37" xfId="0" quotePrefix="1" applyFont="1" applyFill="1" applyBorder="1" applyAlignment="1" applyProtection="1">
      <alignment horizontal="left"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C12" sqref="C12"/>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2011-030, Water Tower Park Apartments, Jones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3826</v>
      </c>
      <c r="B3" s="752"/>
      <c r="C3" s="752"/>
      <c r="D3" s="752"/>
      <c r="E3" s="752"/>
      <c r="F3" s="752"/>
      <c r="G3" s="752"/>
    </row>
    <row r="4" spans="1:9" s="42" customFormat="1" ht="8.25" customHeight="1">
      <c r="A4" s="98"/>
      <c r="B4" s="761" t="s">
        <v>1338</v>
      </c>
      <c r="C4" s="762"/>
      <c r="D4" s="762"/>
      <c r="E4" s="762" t="s">
        <v>3892</v>
      </c>
      <c r="F4" s="767"/>
      <c r="G4" s="99" t="s">
        <v>781</v>
      </c>
    </row>
    <row r="5" spans="1:9" s="42" customFormat="1" ht="8.25" customHeight="1">
      <c r="A5" s="100" t="s">
        <v>783</v>
      </c>
      <c r="B5" s="763"/>
      <c r="C5" s="764"/>
      <c r="D5" s="764"/>
      <c r="E5" s="764"/>
      <c r="F5" s="768"/>
      <c r="G5" s="101" t="s">
        <v>784</v>
      </c>
    </row>
    <row r="6" spans="1:9" s="42" customFormat="1" ht="8.25" customHeight="1">
      <c r="A6" s="102" t="s">
        <v>785</v>
      </c>
      <c r="B6" s="765"/>
      <c r="C6" s="766"/>
      <c r="D6" s="766"/>
      <c r="E6" s="766"/>
      <c r="F6" s="769"/>
      <c r="G6" s="103" t="s">
        <v>786</v>
      </c>
    </row>
    <row r="7" spans="1:9" s="42" customFormat="1" ht="3" customHeight="1">
      <c r="A7" s="100"/>
      <c r="B7" s="394"/>
      <c r="C7" s="394"/>
      <c r="D7" s="394"/>
      <c r="E7" s="306"/>
      <c r="F7" s="710"/>
      <c r="G7" s="311"/>
    </row>
    <row r="8" spans="1:9" s="42" customFormat="1" ht="12.6" customHeight="1" thickBot="1">
      <c r="A8" s="104"/>
      <c r="B8" s="711"/>
      <c r="C8" s="391"/>
      <c r="D8" s="391"/>
      <c r="E8" s="711" t="s">
        <v>1075</v>
      </c>
      <c r="F8" s="391"/>
      <c r="G8" s="1084" t="s">
        <v>3918</v>
      </c>
      <c r="I8" s="1085"/>
    </row>
    <row r="9" spans="1:9" s="42" customFormat="1" ht="12.6" customHeight="1" thickBot="1">
      <c r="A9" s="100"/>
      <c r="B9" s="404" t="s">
        <v>1422</v>
      </c>
      <c r="C9" s="404"/>
      <c r="D9" s="405"/>
      <c r="E9" s="306"/>
      <c r="F9" s="710"/>
      <c r="G9" s="710"/>
    </row>
    <row r="10" spans="1:9" s="42" customFormat="1" ht="12" customHeight="1">
      <c r="A10" s="387">
        <v>1</v>
      </c>
      <c r="B10" s="406" t="s">
        <v>2137</v>
      </c>
      <c r="C10" s="241"/>
      <c r="D10" s="392"/>
      <c r="E10" s="392" t="s">
        <v>2308</v>
      </c>
      <c r="F10" s="392"/>
      <c r="G10" s="1084" t="s">
        <v>3918</v>
      </c>
    </row>
    <row r="11" spans="1:9" s="42" customFormat="1" ht="12" customHeight="1">
      <c r="A11" s="104"/>
      <c r="B11" s="392"/>
      <c r="C11" s="392"/>
      <c r="D11" s="392"/>
      <c r="E11" s="392" t="s">
        <v>2138</v>
      </c>
      <c r="F11" s="392"/>
      <c r="G11" s="1084" t="s">
        <v>3918</v>
      </c>
    </row>
    <row r="12" spans="1:9" s="42" customFormat="1" ht="12" customHeight="1">
      <c r="A12" s="104"/>
      <c r="B12" s="392"/>
      <c r="C12" s="418"/>
      <c r="D12" s="1086"/>
      <c r="E12" s="392" t="s">
        <v>804</v>
      </c>
      <c r="F12" s="391"/>
      <c r="G12" s="1084" t="s">
        <v>3918</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2253</v>
      </c>
    </row>
    <row r="15" spans="1:9" s="42" customFormat="1" ht="12" customHeight="1">
      <c r="A15" s="104"/>
      <c r="B15" s="392"/>
      <c r="C15" s="392"/>
      <c r="D15" s="392"/>
      <c r="E15" s="393" t="s">
        <v>805</v>
      </c>
      <c r="F15" s="392"/>
      <c r="G15" s="1084" t="s">
        <v>3918</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3766</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2253</v>
      </c>
    </row>
    <row r="22" spans="1:7" s="42" customFormat="1" ht="12" customHeight="1">
      <c r="A22" s="100"/>
      <c r="B22" s="394"/>
      <c r="C22" s="394"/>
      <c r="D22" s="394"/>
      <c r="E22" s="753" t="s">
        <v>150</v>
      </c>
      <c r="F22" s="754"/>
      <c r="G22" s="1084" t="s">
        <v>2253</v>
      </c>
    </row>
    <row r="23" spans="1:7" s="42" customFormat="1" ht="12" customHeight="1">
      <c r="A23" s="100"/>
      <c r="B23" s="394"/>
      <c r="C23" s="394"/>
      <c r="D23" s="394"/>
      <c r="E23" s="396" t="s">
        <v>509</v>
      </c>
      <c r="F23" s="395"/>
      <c r="G23" s="1084" t="s">
        <v>2253</v>
      </c>
    </row>
    <row r="24" spans="1:7" s="42" customFormat="1" ht="12" customHeight="1">
      <c r="A24" s="100"/>
      <c r="B24" s="394"/>
      <c r="C24" s="394"/>
      <c r="D24" s="394"/>
      <c r="E24" s="396" t="s">
        <v>510</v>
      </c>
      <c r="F24" s="395"/>
      <c r="G24" s="1084" t="s">
        <v>2253</v>
      </c>
    </row>
    <row r="25" spans="1:7" s="42" customFormat="1" ht="3" customHeight="1">
      <c r="A25" s="104"/>
      <c r="B25" s="241"/>
      <c r="C25" s="392"/>
      <c r="D25" s="392"/>
      <c r="E25" s="1086"/>
      <c r="F25" s="392"/>
      <c r="G25" s="105"/>
    </row>
    <row r="26" spans="1:7" s="42" customFormat="1" ht="12" customHeight="1">
      <c r="A26" s="104"/>
      <c r="B26" s="711"/>
      <c r="C26" s="407" t="s">
        <v>946</v>
      </c>
      <c r="D26" s="392"/>
      <c r="E26" s="392" t="s">
        <v>3767</v>
      </c>
      <c r="F26" s="392"/>
      <c r="G26" s="1084" t="s">
        <v>2253</v>
      </c>
    </row>
    <row r="27" spans="1:7" s="42" customFormat="1" ht="12" customHeight="1">
      <c r="A27" s="104"/>
      <c r="B27" s="392"/>
      <c r="C27" s="392"/>
      <c r="D27" s="392"/>
      <c r="E27" s="1086" t="s">
        <v>3501</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2854</v>
      </c>
      <c r="F30" s="392"/>
      <c r="G30" s="1084" t="s">
        <v>2253</v>
      </c>
    </row>
    <row r="31" spans="1:7" s="42" customFormat="1" ht="12" customHeight="1">
      <c r="A31" s="104"/>
      <c r="B31" s="392"/>
      <c r="C31" s="392"/>
      <c r="D31" s="392"/>
      <c r="E31" s="1086" t="s">
        <v>2855</v>
      </c>
      <c r="F31" s="392"/>
      <c r="G31" s="1084" t="s">
        <v>2253</v>
      </c>
    </row>
    <row r="32" spans="1:7" s="42" customFormat="1" ht="12" customHeight="1">
      <c r="A32" s="104"/>
      <c r="B32" s="392"/>
      <c r="C32" s="392"/>
      <c r="D32" s="392"/>
      <c r="E32" s="1086" t="s">
        <v>2856</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3573</v>
      </c>
      <c r="F34" s="395"/>
      <c r="G34" s="1084" t="s">
        <v>2253</v>
      </c>
    </row>
    <row r="35" spans="1:7" s="42" customFormat="1" ht="12" customHeight="1">
      <c r="A35" s="100"/>
      <c r="B35" s="394"/>
      <c r="C35" s="394"/>
      <c r="D35" s="394"/>
      <c r="E35" s="396" t="s">
        <v>3574</v>
      </c>
      <c r="F35" s="395"/>
      <c r="G35" s="1084" t="s">
        <v>2253</v>
      </c>
    </row>
    <row r="36" spans="1:7" s="42" customFormat="1" ht="12" customHeight="1">
      <c r="A36" s="100"/>
      <c r="B36" s="394"/>
      <c r="C36" s="394"/>
      <c r="D36" s="394"/>
      <c r="E36" s="396" t="s">
        <v>184</v>
      </c>
      <c r="F36" s="395"/>
      <c r="G36" s="1084" t="s">
        <v>2253</v>
      </c>
    </row>
    <row r="37" spans="1:7" s="42" customFormat="1" ht="12" customHeight="1">
      <c r="A37" s="100"/>
      <c r="B37" s="394"/>
      <c r="C37" s="394"/>
      <c r="D37" s="394"/>
      <c r="E37" s="396" t="s">
        <v>3575</v>
      </c>
      <c r="F37" s="395"/>
      <c r="G37" s="1084" t="s">
        <v>2253</v>
      </c>
    </row>
    <row r="38" spans="1:7" s="42" customFormat="1" ht="12" customHeight="1">
      <c r="A38" s="104"/>
      <c r="B38" s="241"/>
      <c r="C38" s="392"/>
      <c r="D38" s="392"/>
      <c r="E38" s="396" t="s">
        <v>3498</v>
      </c>
      <c r="F38" s="392"/>
      <c r="G38" s="1084" t="s">
        <v>2253</v>
      </c>
    </row>
    <row r="39" spans="1:7" s="42" customFormat="1" ht="12" customHeight="1">
      <c r="A39" s="104"/>
      <c r="B39" s="241"/>
      <c r="C39" s="392"/>
      <c r="D39" s="392"/>
      <c r="E39" s="396" t="s">
        <v>3908</v>
      </c>
      <c r="F39" s="392"/>
      <c r="G39" s="1084" t="s">
        <v>2253</v>
      </c>
    </row>
    <row r="40" spans="1:7" s="42" customFormat="1" ht="12" customHeight="1">
      <c r="A40" s="100"/>
      <c r="B40" s="394"/>
      <c r="C40" s="394"/>
      <c r="D40" s="394"/>
      <c r="E40" s="396" t="s">
        <v>1905</v>
      </c>
      <c r="F40" s="395"/>
      <c r="G40" s="1084" t="s">
        <v>2253</v>
      </c>
    </row>
    <row r="41" spans="1:7" s="42" customFormat="1" ht="12" customHeight="1">
      <c r="A41" s="100"/>
      <c r="B41" s="394"/>
      <c r="C41" s="394"/>
      <c r="D41" s="394"/>
      <c r="E41" s="396" t="s">
        <v>1904</v>
      </c>
      <c r="F41" s="395"/>
      <c r="G41" s="1084" t="s">
        <v>2253</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1084" t="s">
        <v>3918</v>
      </c>
    </row>
    <row r="44" spans="1:7" s="42" customFormat="1" ht="12" customHeight="1">
      <c r="A44" s="104"/>
      <c r="B44" s="241"/>
      <c r="C44" s="711"/>
      <c r="D44" s="392"/>
      <c r="E44" s="396" t="s">
        <v>3419</v>
      </c>
      <c r="F44" s="392"/>
      <c r="G44" s="1084" t="s">
        <v>3918</v>
      </c>
    </row>
    <row r="45" spans="1:7" s="42" customFormat="1" ht="12" customHeight="1">
      <c r="A45" s="104"/>
      <c r="B45" s="241"/>
      <c r="C45" s="711"/>
      <c r="D45" s="392"/>
      <c r="E45" s="392" t="s">
        <v>3420</v>
      </c>
      <c r="F45" s="392"/>
      <c r="G45" s="1084" t="s">
        <v>2253</v>
      </c>
    </row>
    <row r="46" spans="1:7" s="42" customFormat="1" ht="12" customHeight="1">
      <c r="A46" s="104"/>
      <c r="B46" s="241"/>
      <c r="C46" s="392"/>
      <c r="D46" s="392"/>
      <c r="E46" s="392" t="s">
        <v>3421</v>
      </c>
      <c r="F46" s="392"/>
      <c r="G46" s="1084" t="s">
        <v>2253</v>
      </c>
    </row>
    <row r="47" spans="1:7" s="42" customFormat="1" ht="24.6" customHeight="1">
      <c r="A47" s="104"/>
      <c r="B47" s="241"/>
      <c r="C47" s="392"/>
      <c r="D47" s="392"/>
      <c r="E47" s="755" t="s">
        <v>3857</v>
      </c>
      <c r="F47" s="756"/>
      <c r="G47" s="1084" t="s">
        <v>2253</v>
      </c>
    </row>
    <row r="48" spans="1:7" s="42" customFormat="1" ht="12" customHeight="1">
      <c r="A48" s="104"/>
      <c r="B48" s="241"/>
      <c r="C48" s="392"/>
      <c r="D48" s="392"/>
      <c r="E48" s="392" t="s">
        <v>3482</v>
      </c>
      <c r="F48" s="396"/>
      <c r="G48" s="1084" t="s">
        <v>3918</v>
      </c>
    </row>
    <row r="49" spans="1:7" s="42" customFormat="1" ht="12" customHeight="1">
      <c r="A49" s="104"/>
      <c r="B49" s="241"/>
      <c r="C49" s="392"/>
      <c r="D49" s="392"/>
      <c r="E49" s="396" t="s">
        <v>3422</v>
      </c>
      <c r="F49" s="396"/>
      <c r="G49" s="1084" t="s">
        <v>3918</v>
      </c>
    </row>
    <row r="50" spans="1:7" s="42" customFormat="1" ht="12" customHeight="1">
      <c r="A50" s="107"/>
      <c r="B50" s="241"/>
      <c r="C50" s="392"/>
      <c r="D50" s="392"/>
      <c r="E50" s="750" t="s">
        <v>466</v>
      </c>
      <c r="F50" s="751"/>
      <c r="G50" s="1084" t="s">
        <v>2253</v>
      </c>
    </row>
    <row r="51" spans="1:7" s="42" customFormat="1" ht="12" customHeight="1">
      <c r="A51" s="387">
        <v>4</v>
      </c>
      <c r="B51" s="1087" t="s">
        <v>1022</v>
      </c>
      <c r="C51" s="392"/>
      <c r="D51" s="392"/>
      <c r="E51" s="1086" t="s">
        <v>1411</v>
      </c>
      <c r="F51" s="392"/>
      <c r="G51" s="1084" t="s">
        <v>3918</v>
      </c>
    </row>
    <row r="52" spans="1:7" s="42" customFormat="1" ht="12" customHeight="1">
      <c r="A52" s="387"/>
      <c r="B52" s="1087"/>
      <c r="C52" s="392"/>
      <c r="D52" s="392"/>
      <c r="E52" s="1086" t="s">
        <v>3581</v>
      </c>
      <c r="F52" s="392"/>
      <c r="G52" s="1084" t="s">
        <v>2253</v>
      </c>
    </row>
    <row r="53" spans="1:7" s="42" customFormat="1" ht="12.6" customHeight="1">
      <c r="A53" s="104"/>
      <c r="B53" s="392"/>
      <c r="C53" s="392"/>
      <c r="D53" s="1086"/>
      <c r="E53" s="397" t="s">
        <v>3544</v>
      </c>
      <c r="F53" s="396"/>
      <c r="G53" s="1084" t="s">
        <v>2253</v>
      </c>
    </row>
    <row r="54" spans="1:7" s="42" customFormat="1" ht="12.6" customHeight="1">
      <c r="A54" s="104"/>
      <c r="B54" s="392"/>
      <c r="C54" s="392"/>
      <c r="D54" s="1086"/>
      <c r="E54" s="397" t="s">
        <v>3764</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3502</v>
      </c>
      <c r="F56" s="392"/>
      <c r="G56" s="1084" t="s">
        <v>2253</v>
      </c>
    </row>
    <row r="57" spans="1:7" s="42" customFormat="1" ht="12" customHeight="1">
      <c r="A57" s="387"/>
      <c r="B57" s="1087"/>
      <c r="C57" s="392"/>
      <c r="D57" s="392"/>
      <c r="E57" s="1086" t="s">
        <v>2656</v>
      </c>
      <c r="F57" s="392"/>
      <c r="G57" s="1084" t="s">
        <v>2253</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2689</v>
      </c>
      <c r="F59" s="398"/>
      <c r="G59" s="1084" t="s">
        <v>3918</v>
      </c>
    </row>
    <row r="60" spans="1:7" s="42" customFormat="1" ht="12" customHeight="1">
      <c r="A60" s="387"/>
      <c r="B60" s="406"/>
      <c r="C60" s="392"/>
      <c r="D60" s="392"/>
      <c r="E60" s="398" t="s">
        <v>1841</v>
      </c>
      <c r="F60" s="398"/>
      <c r="G60" s="1084" t="s">
        <v>2253</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3918</v>
      </c>
    </row>
    <row r="65" spans="1:7" s="42" customFormat="1" ht="12" customHeight="1">
      <c r="A65" s="104"/>
      <c r="B65" s="392"/>
      <c r="C65" s="392"/>
      <c r="D65" s="392"/>
      <c r="E65" s="1086" t="s">
        <v>1845</v>
      </c>
      <c r="F65" s="392"/>
      <c r="G65" s="1084" t="s">
        <v>2253</v>
      </c>
    </row>
    <row r="66" spans="1:7" s="42" customFormat="1" ht="12" customHeight="1">
      <c r="A66" s="104"/>
      <c r="B66" s="392"/>
      <c r="C66" s="418"/>
      <c r="D66" s="392"/>
      <c r="E66" s="770" t="s">
        <v>1846</v>
      </c>
      <c r="F66" s="771"/>
      <c r="G66" s="1084" t="s">
        <v>2253</v>
      </c>
    </row>
    <row r="67" spans="1:7" s="42" customFormat="1" ht="12" customHeight="1">
      <c r="A67" s="104"/>
      <c r="B67" s="392"/>
      <c r="C67" s="418"/>
      <c r="D67" s="392"/>
      <c r="E67" s="441" t="s">
        <v>1847</v>
      </c>
      <c r="F67" s="399"/>
      <c r="G67" s="1084" t="s">
        <v>2253</v>
      </c>
    </row>
    <row r="68" spans="1:7" s="42" customFormat="1" ht="12" customHeight="1">
      <c r="A68" s="104"/>
      <c r="B68" s="392"/>
      <c r="C68" s="392"/>
      <c r="D68" s="392"/>
      <c r="E68" s="1086" t="s">
        <v>1901</v>
      </c>
      <c r="F68" s="398"/>
      <c r="G68" s="1084" t="s">
        <v>2253</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2253</v>
      </c>
    </row>
    <row r="72" spans="1:7" s="42" customFormat="1" ht="12" customHeight="1">
      <c r="A72" s="104"/>
      <c r="B72" s="392"/>
      <c r="C72" s="392"/>
      <c r="D72" s="392"/>
      <c r="E72" s="398" t="s">
        <v>640</v>
      </c>
      <c r="F72" s="398"/>
      <c r="G72" s="1084" t="s">
        <v>3918</v>
      </c>
    </row>
    <row r="73" spans="1:7" s="42" customFormat="1" ht="12" customHeight="1">
      <c r="A73" s="104"/>
      <c r="B73" s="392"/>
      <c r="C73" s="413"/>
      <c r="D73" s="413"/>
      <c r="E73" s="396" t="s">
        <v>1903</v>
      </c>
      <c r="F73" s="400"/>
      <c r="G73" s="1084" t="s">
        <v>2253</v>
      </c>
    </row>
    <row r="74" spans="1:7" s="42" customFormat="1" ht="12" customHeight="1">
      <c r="A74" s="104"/>
      <c r="B74" s="392"/>
      <c r="C74" s="392"/>
      <c r="D74" s="392"/>
      <c r="E74" s="398" t="s">
        <v>3511</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3503</v>
      </c>
      <c r="F76" s="392"/>
      <c r="G76" s="1084" t="s">
        <v>2253</v>
      </c>
    </row>
    <row r="77" spans="1:7" s="42" customFormat="1" ht="12" customHeight="1">
      <c r="A77" s="104"/>
      <c r="B77" s="392"/>
      <c r="C77" s="413"/>
      <c r="D77" s="413"/>
      <c r="E77" s="396" t="s">
        <v>3858</v>
      </c>
      <c r="F77" s="400"/>
      <c r="G77" s="1084" t="s">
        <v>2253</v>
      </c>
    </row>
    <row r="78" spans="1:7" s="42" customFormat="1" ht="12" customHeight="1">
      <c r="A78" s="104"/>
      <c r="B78" s="392"/>
      <c r="C78" s="413"/>
      <c r="D78" s="413"/>
      <c r="E78" s="396" t="s">
        <v>3859</v>
      </c>
      <c r="F78" s="400"/>
      <c r="G78" s="1084" t="s">
        <v>2253</v>
      </c>
    </row>
    <row r="79" spans="1:7" s="42" customFormat="1" ht="12" customHeight="1">
      <c r="A79" s="104"/>
      <c r="B79" s="392"/>
      <c r="C79" s="392"/>
      <c r="D79" s="392"/>
      <c r="E79" s="392" t="s">
        <v>3860</v>
      </c>
      <c r="F79" s="392"/>
      <c r="G79" s="1084"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3918</v>
      </c>
    </row>
    <row r="82" spans="1:7" s="42" customFormat="1" ht="6" customHeight="1">
      <c r="A82" s="104"/>
      <c r="B82" s="241"/>
      <c r="C82" s="711"/>
      <c r="D82" s="392"/>
      <c r="E82" s="398"/>
      <c r="F82" s="398"/>
      <c r="G82" s="147"/>
    </row>
    <row r="83" spans="1:7" s="42" customFormat="1" ht="12" customHeight="1">
      <c r="A83" s="387">
        <v>8</v>
      </c>
      <c r="B83" s="408" t="s">
        <v>3424</v>
      </c>
      <c r="C83" s="241"/>
      <c r="D83" s="392"/>
      <c r="E83" s="398" t="s">
        <v>1902</v>
      </c>
      <c r="F83" s="398"/>
      <c r="G83" s="1084" t="s">
        <v>3918</v>
      </c>
    </row>
    <row r="84" spans="1:7" s="42" customFormat="1" ht="12" customHeight="1">
      <c r="A84" s="104"/>
      <c r="B84" s="241"/>
      <c r="C84" s="711"/>
      <c r="D84" s="392"/>
      <c r="E84" s="398" t="s">
        <v>3794</v>
      </c>
      <c r="F84" s="398"/>
      <c r="G84" s="1084" t="s">
        <v>2253</v>
      </c>
    </row>
    <row r="85" spans="1:7" s="42" customFormat="1" ht="6" customHeight="1">
      <c r="A85" s="104"/>
      <c r="B85" s="711"/>
      <c r="C85" s="392"/>
      <c r="D85" s="392"/>
      <c r="E85" s="1086"/>
      <c r="F85" s="398"/>
      <c r="G85" s="314"/>
    </row>
    <row r="86" spans="1:7" s="42" customFormat="1" ht="12" customHeight="1">
      <c r="A86" s="387">
        <v>9</v>
      </c>
      <c r="B86" s="406" t="s">
        <v>3701</v>
      </c>
      <c r="C86" s="241"/>
      <c r="D86" s="392"/>
      <c r="E86" s="1086" t="s">
        <v>3879</v>
      </c>
      <c r="F86" s="398"/>
      <c r="G86" s="1084" t="s">
        <v>3918</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3884</v>
      </c>
      <c r="F90" s="1088"/>
      <c r="G90" s="1084" t="s">
        <v>3918</v>
      </c>
    </row>
    <row r="91" spans="1:7" s="42" customFormat="1" ht="12" customHeight="1">
      <c r="A91" s="107"/>
      <c r="B91" s="392"/>
      <c r="C91" s="391"/>
      <c r="D91" s="1086"/>
      <c r="E91" s="392" t="s">
        <v>305</v>
      </c>
      <c r="F91" s="392"/>
      <c r="G91" s="1084" t="s">
        <v>2253</v>
      </c>
    </row>
    <row r="92" spans="1:7" s="42" customFormat="1" ht="12" customHeight="1">
      <c r="A92" s="387">
        <v>12</v>
      </c>
      <c r="B92" s="406" t="s">
        <v>1600</v>
      </c>
      <c r="C92" s="241"/>
      <c r="D92" s="392"/>
      <c r="E92" s="396" t="s">
        <v>3462</v>
      </c>
      <c r="F92" s="398"/>
      <c r="G92" s="1084" t="s">
        <v>3918</v>
      </c>
    </row>
    <row r="93" spans="1:7" s="42" customFormat="1" ht="12" customHeight="1">
      <c r="A93" s="104"/>
      <c r="B93" s="396"/>
      <c r="C93" s="241"/>
      <c r="D93" s="396"/>
      <c r="E93" s="396" t="s">
        <v>724</v>
      </c>
      <c r="F93" s="402"/>
      <c r="G93" s="1084" t="s">
        <v>3918</v>
      </c>
    </row>
    <row r="94" spans="1:7" s="42" customFormat="1" ht="12" customHeight="1">
      <c r="A94" s="104"/>
      <c r="B94" s="392"/>
      <c r="C94" s="241"/>
      <c r="D94" s="392"/>
      <c r="E94" s="396" t="s">
        <v>3880</v>
      </c>
      <c r="F94" s="398"/>
      <c r="G94" s="1084" t="s">
        <v>2253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3918</v>
      </c>
    </row>
    <row r="97" spans="1:7" s="42" customFormat="1" ht="12" customHeight="1">
      <c r="A97" s="104"/>
      <c r="B97" s="241"/>
      <c r="C97" s="241"/>
      <c r="D97" s="392"/>
      <c r="E97" s="392" t="s">
        <v>3329</v>
      </c>
      <c r="F97" s="392"/>
      <c r="G97" s="1084" t="s">
        <v>3918</v>
      </c>
    </row>
    <row r="98" spans="1:7" s="42" customFormat="1" ht="12" customHeight="1">
      <c r="A98" s="104"/>
      <c r="B98" s="392"/>
      <c r="C98" s="241"/>
      <c r="D98" s="392"/>
      <c r="E98" s="392" t="s">
        <v>3269</v>
      </c>
      <c r="F98" s="392"/>
      <c r="G98" s="1084" t="s">
        <v>3918</v>
      </c>
    </row>
    <row r="99" spans="1:7" s="42" customFormat="1" ht="12" customHeight="1">
      <c r="A99" s="104"/>
      <c r="B99" s="391"/>
      <c r="C99" s="241"/>
      <c r="D99" s="392"/>
      <c r="E99" s="396" t="s">
        <v>3270</v>
      </c>
      <c r="F99" s="402"/>
      <c r="G99" s="1084" t="s">
        <v>3918</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3918</v>
      </c>
    </row>
    <row r="102" spans="1:7" s="42" customFormat="1" ht="12" customHeight="1">
      <c r="A102" s="104"/>
      <c r="B102" s="391"/>
      <c r="C102" s="241"/>
      <c r="D102" s="396"/>
      <c r="E102" s="750" t="s">
        <v>908</v>
      </c>
      <c r="F102" s="751"/>
      <c r="G102" s="1084" t="s">
        <v>3918</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3504</v>
      </c>
      <c r="F104" s="402"/>
      <c r="G104" s="1084" t="s">
        <v>2253</v>
      </c>
    </row>
    <row r="105" spans="1:7" s="42" customFormat="1" ht="12" customHeight="1">
      <c r="A105" s="104"/>
      <c r="B105" s="396"/>
      <c r="C105" s="241"/>
      <c r="D105" s="396"/>
      <c r="E105" s="397" t="s">
        <v>3765</v>
      </c>
      <c r="F105" s="392"/>
      <c r="G105" s="1084" t="s">
        <v>2253</v>
      </c>
    </row>
    <row r="106" spans="1:7" s="42" customFormat="1" ht="12" customHeight="1">
      <c r="A106" s="104"/>
      <c r="B106" s="392"/>
      <c r="C106" s="241"/>
      <c r="D106" s="1086"/>
      <c r="E106" s="392" t="s">
        <v>3505</v>
      </c>
      <c r="F106" s="392"/>
      <c r="G106" s="1084" t="s">
        <v>3918</v>
      </c>
    </row>
    <row r="107" spans="1:7" s="42" customFormat="1" ht="12" customHeight="1">
      <c r="A107" s="104"/>
      <c r="B107" s="391"/>
      <c r="C107" s="241"/>
      <c r="D107" s="392"/>
      <c r="E107" s="392" t="s">
        <v>1651</v>
      </c>
      <c r="F107" s="392"/>
      <c r="G107" s="1084" t="s">
        <v>3918</v>
      </c>
    </row>
    <row r="108" spans="1:7" s="42" customFormat="1" ht="12" customHeight="1">
      <c r="A108" s="104"/>
      <c r="B108" s="392"/>
      <c r="C108" s="241"/>
      <c r="D108" s="392"/>
      <c r="E108" s="396" t="s">
        <v>1652</v>
      </c>
      <c r="F108" s="402"/>
      <c r="G108" s="1084" t="s">
        <v>3918</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3463</v>
      </c>
      <c r="F110" s="402"/>
      <c r="G110" s="1084" t="s">
        <v>2253</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1909</v>
      </c>
      <c r="F112" s="396"/>
      <c r="G112" s="1084" t="s">
        <v>3918</v>
      </c>
    </row>
    <row r="113" spans="1:7" s="42" customFormat="1" ht="12" customHeight="1">
      <c r="A113" s="104"/>
      <c r="B113" s="772"/>
      <c r="C113" s="773"/>
      <c r="D113" s="773"/>
      <c r="E113" s="396" t="s">
        <v>1910</v>
      </c>
      <c r="F113" s="396"/>
      <c r="G113" s="1084" t="s">
        <v>3918</v>
      </c>
    </row>
    <row r="114" spans="1:7" s="42" customFormat="1" ht="12" customHeight="1">
      <c r="A114" s="104"/>
      <c r="B114" s="772"/>
      <c r="C114" s="773"/>
      <c r="D114" s="773"/>
      <c r="E114" s="396" t="s">
        <v>1913</v>
      </c>
      <c r="F114" s="396"/>
      <c r="G114" s="1084"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3545</v>
      </c>
      <c r="F116" s="398"/>
      <c r="G116" s="1084" t="s">
        <v>2253</v>
      </c>
    </row>
    <row r="117" spans="1:7" s="42" customFormat="1" ht="12" customHeight="1">
      <c r="A117" s="104"/>
      <c r="B117" s="602" t="s">
        <v>3079</v>
      </c>
      <c r="C117" s="241"/>
      <c r="D117" s="1089"/>
      <c r="E117" s="403" t="s">
        <v>3546</v>
      </c>
      <c r="F117" s="398"/>
      <c r="G117" s="1084" t="s">
        <v>2253</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1084" t="s">
        <v>3918</v>
      </c>
    </row>
    <row r="120" spans="1:7" s="42" customFormat="1" ht="12" customHeight="1">
      <c r="A120" s="387"/>
      <c r="B120" s="602" t="s">
        <v>3394</v>
      </c>
      <c r="C120" s="406"/>
      <c r="D120" s="392"/>
      <c r="E120" s="393" t="s">
        <v>2527</v>
      </c>
      <c r="F120" s="392"/>
      <c r="G120" s="1084" t="s">
        <v>3918</v>
      </c>
    </row>
    <row r="121" spans="1:7" s="42" customFormat="1" ht="12" customHeight="1">
      <c r="A121" s="104"/>
      <c r="B121" s="241"/>
      <c r="C121" s="392"/>
      <c r="D121" s="392"/>
      <c r="E121" s="392" t="s">
        <v>3303</v>
      </c>
      <c r="F121" s="392"/>
      <c r="G121" s="1084" t="s">
        <v>3918</v>
      </c>
    </row>
    <row r="122" spans="1:7" s="42" customFormat="1" ht="12" customHeight="1">
      <c r="A122" s="104"/>
      <c r="B122" s="392"/>
      <c r="C122" s="392"/>
      <c r="D122" s="392"/>
      <c r="E122" s="392" t="s">
        <v>3881</v>
      </c>
      <c r="F122" s="392"/>
      <c r="G122" s="1084" t="s">
        <v>3918</v>
      </c>
    </row>
    <row r="123" spans="1:7" s="42" customFormat="1" ht="6" customHeight="1">
      <c r="A123" s="100"/>
      <c r="B123" s="394"/>
      <c r="C123" s="394"/>
      <c r="D123" s="394"/>
      <c r="E123" s="394"/>
      <c r="F123" s="395"/>
      <c r="G123" s="311"/>
    </row>
    <row r="124" spans="1:7" s="42" customFormat="1" ht="12.6" customHeight="1">
      <c r="A124" s="387">
        <v>19</v>
      </c>
      <c r="B124" s="414" t="s">
        <v>2865</v>
      </c>
      <c r="C124" s="1086"/>
      <c r="D124" s="1086"/>
      <c r="E124" s="396" t="s">
        <v>3518</v>
      </c>
      <c r="F124" s="396"/>
      <c r="G124" s="1084" t="s">
        <v>3918</v>
      </c>
    </row>
    <row r="125" spans="1:7" s="42" customFormat="1" ht="12" customHeight="1">
      <c r="A125" s="104"/>
      <c r="B125" s="396"/>
      <c r="C125" s="391"/>
      <c r="D125" s="396"/>
      <c r="E125" s="396" t="s">
        <v>890</v>
      </c>
      <c r="F125" s="396"/>
      <c r="G125" s="1084" t="s">
        <v>3918</v>
      </c>
    </row>
    <row r="126" spans="1:7" s="42" customFormat="1" ht="12" customHeight="1">
      <c r="A126" s="104"/>
      <c r="B126" s="396"/>
      <c r="C126" s="391"/>
      <c r="D126" s="396"/>
      <c r="E126" s="396" t="s">
        <v>3519</v>
      </c>
      <c r="F126" s="396"/>
      <c r="G126" s="1084" t="s">
        <v>2253</v>
      </c>
    </row>
    <row r="127" spans="1:7" s="42" customFormat="1" ht="12" customHeight="1">
      <c r="A127" s="104"/>
      <c r="B127" s="396"/>
      <c r="C127" s="415"/>
      <c r="D127" s="396"/>
      <c r="E127" s="396" t="s">
        <v>3520</v>
      </c>
      <c r="F127" s="396"/>
      <c r="G127" s="1084" t="s">
        <v>2253</v>
      </c>
    </row>
    <row r="128" spans="1:7" s="42" customFormat="1" ht="12" customHeight="1">
      <c r="A128" s="104"/>
      <c r="B128" s="396"/>
      <c r="C128" s="396"/>
      <c r="D128" s="416"/>
      <c r="E128" s="396" t="s">
        <v>3521</v>
      </c>
      <c r="F128" s="396"/>
      <c r="G128" s="1084" t="s">
        <v>2253</v>
      </c>
    </row>
    <row r="129" spans="1:7" s="42" customFormat="1" ht="12" customHeight="1">
      <c r="A129" s="104"/>
      <c r="B129" s="396"/>
      <c r="C129" s="396"/>
      <c r="D129" s="416"/>
      <c r="E129" s="396" t="s">
        <v>3522</v>
      </c>
      <c r="F129" s="396"/>
      <c r="G129" s="1084" t="s">
        <v>2253</v>
      </c>
    </row>
    <row r="130" spans="1:7" s="1090" customFormat="1" ht="12" customHeight="1">
      <c r="A130" s="104"/>
      <c r="B130" s="396"/>
      <c r="C130" s="396"/>
      <c r="D130" s="416"/>
      <c r="E130" s="396" t="s">
        <v>3542</v>
      </c>
      <c r="F130" s="396"/>
      <c r="G130" s="1084" t="s">
        <v>2253</v>
      </c>
    </row>
    <row r="131" spans="1:7" s="42" customFormat="1" ht="24.6" customHeight="1">
      <c r="A131" s="107"/>
      <c r="B131" s="396"/>
      <c r="C131" s="396"/>
      <c r="D131" s="396"/>
      <c r="E131" s="750" t="s">
        <v>3543</v>
      </c>
      <c r="F131" s="751"/>
      <c r="G131" s="1084" t="s">
        <v>3918</v>
      </c>
    </row>
    <row r="132" spans="1:7" s="42" customFormat="1" ht="12.6" customHeight="1">
      <c r="A132" s="387">
        <v>20</v>
      </c>
      <c r="B132" s="414" t="s">
        <v>823</v>
      </c>
      <c r="C132" s="1086"/>
      <c r="D132" s="1086"/>
      <c r="E132" s="396" t="s">
        <v>467</v>
      </c>
      <c r="F132" s="396"/>
      <c r="G132" s="1084" t="s">
        <v>2253</v>
      </c>
    </row>
    <row r="133" spans="1:7" s="42" customFormat="1" ht="12" customHeight="1">
      <c r="A133" s="104"/>
      <c r="B133" s="396"/>
      <c r="C133" s="391"/>
      <c r="D133" s="396"/>
      <c r="E133" s="396" t="s">
        <v>3662</v>
      </c>
      <c r="F133" s="396"/>
      <c r="G133" s="1084" t="s">
        <v>2253</v>
      </c>
    </row>
    <row r="134" spans="1:7" s="42" customFormat="1" ht="12" customHeight="1">
      <c r="A134" s="104"/>
      <c r="B134" s="396"/>
      <c r="C134" s="415"/>
      <c r="D134" s="396"/>
      <c r="E134" s="396" t="s">
        <v>722</v>
      </c>
      <c r="F134" s="396"/>
      <c r="G134" s="1084" t="s">
        <v>2253</v>
      </c>
    </row>
    <row r="135" spans="1:7" s="42" customFormat="1" ht="12" customHeight="1">
      <c r="A135" s="104"/>
      <c r="B135" s="396"/>
      <c r="C135" s="396"/>
      <c r="D135" s="416"/>
      <c r="E135" s="396" t="s">
        <v>723</v>
      </c>
      <c r="F135" s="396"/>
      <c r="G135" s="1084" t="s">
        <v>2253</v>
      </c>
    </row>
    <row r="136" spans="1:7" s="42" customFormat="1" ht="12" customHeight="1">
      <c r="A136" s="104"/>
      <c r="B136" s="396"/>
      <c r="C136" s="396"/>
      <c r="D136" s="416"/>
      <c r="E136" s="396" t="s">
        <v>989</v>
      </c>
      <c r="F136" s="396"/>
      <c r="G136" s="1084" t="s">
        <v>2253</v>
      </c>
    </row>
    <row r="137" spans="1:7" s="1090" customFormat="1" ht="12" customHeight="1">
      <c r="A137" s="104"/>
      <c r="B137" s="396"/>
      <c r="C137" s="396"/>
      <c r="D137" s="416"/>
      <c r="E137" s="396" t="s">
        <v>2292</v>
      </c>
      <c r="F137" s="396"/>
      <c r="G137" s="1084" t="s">
        <v>2253</v>
      </c>
    </row>
    <row r="138" spans="1:7" s="42" customFormat="1" ht="12" customHeight="1">
      <c r="A138" s="104"/>
      <c r="B138" s="396"/>
      <c r="C138" s="396"/>
      <c r="D138" s="396"/>
      <c r="E138" s="711" t="s">
        <v>3572</v>
      </c>
      <c r="F138" s="402"/>
      <c r="G138" s="1084" t="s">
        <v>2253</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3200</v>
      </c>
      <c r="F140" s="396"/>
      <c r="G140" s="1084" t="s">
        <v>2253</v>
      </c>
    </row>
    <row r="141" spans="1:7" s="42" customFormat="1" ht="11.45" customHeight="1">
      <c r="A141" s="104"/>
      <c r="B141" s="241"/>
      <c r="C141" s="241"/>
      <c r="D141" s="396"/>
      <c r="E141" s="396" t="s">
        <v>2836</v>
      </c>
      <c r="F141" s="396"/>
      <c r="G141" s="1084" t="s">
        <v>2253</v>
      </c>
    </row>
    <row r="142" spans="1:7" s="42" customFormat="1" ht="11.45" customHeight="1">
      <c r="A142" s="104"/>
      <c r="B142" s="396"/>
      <c r="C142" s="396"/>
      <c r="D142" s="396"/>
      <c r="E142" s="396" t="s">
        <v>3076</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2253</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2253</v>
      </c>
    </row>
    <row r="147" spans="1:7" s="42" customFormat="1" ht="12" customHeight="1">
      <c r="A147" s="104"/>
      <c r="B147" s="241"/>
      <c r="C147" s="241"/>
      <c r="D147" s="241"/>
      <c r="E147" s="396" t="s">
        <v>3308</v>
      </c>
      <c r="F147" s="392"/>
      <c r="G147" s="1084" t="s">
        <v>2253</v>
      </c>
    </row>
    <row r="148" spans="1:7" s="42" customFormat="1" ht="12" customHeight="1">
      <c r="A148" s="104"/>
      <c r="B148" s="241"/>
      <c r="C148" s="241"/>
      <c r="D148" s="241"/>
      <c r="E148" s="396" t="s">
        <v>3341</v>
      </c>
      <c r="F148" s="392"/>
      <c r="G148" s="1084" t="s">
        <v>2253</v>
      </c>
    </row>
    <row r="149" spans="1:7" s="42" customFormat="1" ht="12" customHeight="1">
      <c r="A149" s="104"/>
      <c r="B149" s="241"/>
      <c r="C149" s="396"/>
      <c r="D149" s="396"/>
      <c r="E149" s="396" t="s">
        <v>2197</v>
      </c>
      <c r="F149" s="392"/>
      <c r="G149" s="1084" t="s">
        <v>2253</v>
      </c>
    </row>
    <row r="150" spans="1:7" s="42" customFormat="1" ht="12" customHeight="1">
      <c r="A150" s="104"/>
      <c r="B150" s="396"/>
      <c r="C150" s="396"/>
      <c r="D150" s="396"/>
      <c r="E150" s="396" t="s">
        <v>2198</v>
      </c>
      <c r="F150" s="392"/>
      <c r="G150" s="1084" t="s">
        <v>2253</v>
      </c>
    </row>
    <row r="151" spans="1:7" s="42" customFormat="1" ht="12" customHeight="1">
      <c r="A151" s="104"/>
      <c r="B151" s="396"/>
      <c r="C151" s="396"/>
      <c r="D151" s="396"/>
      <c r="E151" s="396" t="s">
        <v>3336</v>
      </c>
      <c r="F151" s="392"/>
      <c r="G151" s="1084" t="s">
        <v>2253</v>
      </c>
    </row>
    <row r="152" spans="1:7" s="42" customFormat="1" ht="12" customHeight="1">
      <c r="A152" s="104"/>
      <c r="B152" s="396"/>
      <c r="C152" s="396"/>
      <c r="D152" s="396"/>
      <c r="E152" s="396" t="s">
        <v>3337</v>
      </c>
      <c r="F152" s="392"/>
      <c r="G152" s="1084" t="s">
        <v>2253</v>
      </c>
    </row>
    <row r="153" spans="1:7" s="42" customFormat="1" ht="12" customHeight="1">
      <c r="A153" s="104"/>
      <c r="B153" s="396"/>
      <c r="C153" s="396"/>
      <c r="D153" s="396"/>
      <c r="E153" s="396" t="s">
        <v>2195</v>
      </c>
      <c r="F153" s="392"/>
      <c r="G153" s="1084" t="s">
        <v>2253</v>
      </c>
    </row>
    <row r="154" spans="1:7" s="42" customFormat="1" ht="12" customHeight="1">
      <c r="A154" s="104"/>
      <c r="B154" s="711"/>
      <c r="C154" s="415"/>
      <c r="D154" s="396"/>
      <c r="E154" s="397" t="s">
        <v>2857</v>
      </c>
      <c r="F154" s="392"/>
      <c r="G154" s="1084" t="s">
        <v>2253</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3919</v>
      </c>
    </row>
    <row r="157" spans="1:7" s="42" customFormat="1" ht="12" customHeight="1">
      <c r="A157" s="104"/>
      <c r="B157" s="1093"/>
      <c r="C157" s="1092"/>
      <c r="D157" s="1092"/>
      <c r="E157" s="1086" t="s">
        <v>1409</v>
      </c>
      <c r="F157" s="392"/>
      <c r="G157" s="1084" t="s">
        <v>3919</v>
      </c>
    </row>
    <row r="158" spans="1:7" s="42" customFormat="1" ht="12" customHeight="1">
      <c r="A158" s="104"/>
      <c r="B158" s="1093"/>
      <c r="C158" s="1092"/>
      <c r="D158" s="1092"/>
      <c r="E158" s="1086" t="s">
        <v>1410</v>
      </c>
      <c r="F158" s="392"/>
      <c r="G158" s="1084" t="s">
        <v>3919</v>
      </c>
    </row>
    <row r="159" spans="1:7" s="42" customFormat="1" ht="24.6" customHeight="1">
      <c r="A159" s="104"/>
      <c r="B159" s="1094"/>
      <c r="C159" s="141"/>
      <c r="D159" s="141"/>
      <c r="E159" s="1095" t="s">
        <v>3506</v>
      </c>
      <c r="F159" s="1096"/>
      <c r="G159" s="1084" t="s">
        <v>3919</v>
      </c>
    </row>
    <row r="160" spans="1:7" s="42" customFormat="1" ht="5.45" customHeight="1">
      <c r="A160" s="100"/>
      <c r="B160" s="394"/>
      <c r="C160" s="394"/>
      <c r="D160" s="394"/>
      <c r="E160" s="394"/>
      <c r="F160" s="395"/>
      <c r="G160" s="312"/>
    </row>
    <row r="161" spans="1:7" s="42" customFormat="1" ht="12.6" customHeight="1">
      <c r="A161" s="104"/>
      <c r="B161" s="409" t="s">
        <v>3499</v>
      </c>
      <c r="C161" s="1097"/>
      <c r="D161" s="1098"/>
      <c r="E161" s="1086"/>
      <c r="F161" s="392"/>
      <c r="G161" s="106"/>
    </row>
    <row r="162" spans="1:7" s="42" customFormat="1" ht="12" customHeight="1">
      <c r="A162" s="387">
        <v>24</v>
      </c>
      <c r="B162" s="1087" t="s">
        <v>1025</v>
      </c>
      <c r="C162" s="241"/>
      <c r="D162" s="1086"/>
      <c r="E162" s="398" t="s">
        <v>3500</v>
      </c>
      <c r="F162" s="392"/>
      <c r="G162" s="1084" t="s">
        <v>3918</v>
      </c>
    </row>
    <row r="163" spans="1:7" s="42" customFormat="1" ht="12" customHeight="1">
      <c r="A163" s="104"/>
      <c r="B163" s="241"/>
      <c r="C163" s="711"/>
      <c r="D163" s="1086"/>
      <c r="E163" s="757" t="s">
        <v>866</v>
      </c>
      <c r="F163" s="751"/>
      <c r="G163" s="1084" t="s">
        <v>3918</v>
      </c>
    </row>
    <row r="164" spans="1:7" s="42" customFormat="1" ht="12" customHeight="1">
      <c r="A164" s="104"/>
      <c r="B164" s="401"/>
      <c r="C164" s="1086"/>
      <c r="D164" s="1086"/>
      <c r="E164" s="398" t="s">
        <v>37</v>
      </c>
      <c r="F164" s="392"/>
      <c r="G164" s="1084" t="s">
        <v>3918</v>
      </c>
    </row>
    <row r="165" spans="1:7" s="42" customFormat="1" ht="24.6" customHeight="1">
      <c r="A165" s="104"/>
      <c r="B165" s="401"/>
      <c r="C165" s="1086"/>
      <c r="D165" s="1086"/>
      <c r="E165" s="757" t="s">
        <v>687</v>
      </c>
      <c r="F165" s="751"/>
      <c r="G165" s="1084" t="s">
        <v>2253</v>
      </c>
    </row>
    <row r="166" spans="1:7" s="42" customFormat="1" ht="12" customHeight="1">
      <c r="A166" s="104"/>
      <c r="B166" s="401"/>
      <c r="C166" s="1086"/>
      <c r="D166" s="1086"/>
      <c r="E166" s="757" t="s">
        <v>688</v>
      </c>
      <c r="F166" s="751"/>
      <c r="G166" s="1084" t="s">
        <v>2253</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7" t="s">
        <v>2654</v>
      </c>
      <c r="F168" s="751"/>
      <c r="G168" s="1084" t="s">
        <v>3918</v>
      </c>
    </row>
    <row r="169" spans="1:7" s="42" customFormat="1" ht="13.9" customHeight="1">
      <c r="A169" s="389"/>
      <c r="B169" s="1100"/>
      <c r="C169" s="241"/>
      <c r="D169" s="1087"/>
      <c r="E169" s="757" t="s">
        <v>628</v>
      </c>
      <c r="F169" s="751"/>
      <c r="G169" s="1084" t="s">
        <v>3918</v>
      </c>
    </row>
    <row r="170" spans="1:7" s="42" customFormat="1" ht="12" customHeight="1">
      <c r="A170" s="387">
        <v>26</v>
      </c>
      <c r="B170" s="1087" t="s">
        <v>689</v>
      </c>
      <c r="C170" s="241"/>
      <c r="D170" s="1087"/>
      <c r="E170" s="712" t="s">
        <v>690</v>
      </c>
      <c r="F170" s="708"/>
      <c r="G170" s="1084" t="s">
        <v>2253</v>
      </c>
    </row>
    <row r="171" spans="1:7" s="42" customFormat="1" ht="12" customHeight="1">
      <c r="A171" s="104"/>
      <c r="B171" s="1087"/>
      <c r="C171" s="241"/>
      <c r="E171" s="712" t="s">
        <v>629</v>
      </c>
      <c r="F171" s="708"/>
      <c r="G171" s="1084" t="s">
        <v>2253</v>
      </c>
    </row>
    <row r="172" spans="1:7" s="42" customFormat="1" ht="12" customHeight="1">
      <c r="A172" s="104"/>
      <c r="B172" s="408"/>
      <c r="C172" s="241"/>
      <c r="D172" s="1087"/>
      <c r="E172" s="757" t="s">
        <v>630</v>
      </c>
      <c r="F172" s="751"/>
      <c r="G172" s="1084" t="s">
        <v>2253</v>
      </c>
    </row>
    <row r="173" spans="1:7" s="42" customFormat="1" ht="12" customHeight="1">
      <c r="A173" s="104"/>
      <c r="B173" s="408"/>
      <c r="C173" s="241"/>
      <c r="D173" s="1087"/>
      <c r="E173" s="757" t="s">
        <v>631</v>
      </c>
      <c r="F173" s="751"/>
      <c r="G173" s="1084" t="s">
        <v>2253</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08"/>
      <c r="G175" s="1084" t="s">
        <v>2253</v>
      </c>
    </row>
    <row r="176" spans="1:7" s="42" customFormat="1" ht="12" customHeight="1">
      <c r="A176" s="104"/>
      <c r="B176" s="1087"/>
      <c r="C176" s="241"/>
      <c r="D176" s="1087"/>
      <c r="E176" s="757" t="s">
        <v>177</v>
      </c>
      <c r="F176" s="751"/>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3471</v>
      </c>
      <c r="C181" s="1087"/>
      <c r="D181" s="1087"/>
      <c r="E181" s="757" t="s">
        <v>178</v>
      </c>
      <c r="F181" s="1040"/>
      <c r="G181" s="1084" t="s">
        <v>2253</v>
      </c>
    </row>
    <row r="182" spans="1:7" s="42" customFormat="1" ht="12" customHeight="1">
      <c r="A182" s="387"/>
      <c r="B182" s="1101"/>
      <c r="C182" s="1087"/>
      <c r="D182" s="1087"/>
      <c r="E182" s="757" t="s">
        <v>179</v>
      </c>
      <c r="F182" s="1040"/>
      <c r="G182" s="1084" t="s">
        <v>2253</v>
      </c>
    </row>
    <row r="183" spans="1:7" s="42" customFormat="1" ht="25.15" customHeight="1">
      <c r="A183" s="104"/>
      <c r="B183" s="1087"/>
      <c r="C183" s="241"/>
      <c r="D183" s="1087"/>
      <c r="E183" s="757" t="s">
        <v>1619</v>
      </c>
      <c r="F183" s="751"/>
      <c r="G183" s="1084" t="s">
        <v>2253</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7" t="s">
        <v>632</v>
      </c>
      <c r="F185" s="751"/>
      <c r="G185" s="1084" t="s">
        <v>3918</v>
      </c>
    </row>
    <row r="186" spans="1:7" s="42" customFormat="1" ht="12" customHeight="1">
      <c r="A186" s="387"/>
      <c r="B186" s="1101"/>
      <c r="C186" s="241"/>
      <c r="D186" s="1087"/>
      <c r="E186" s="393" t="s">
        <v>1636</v>
      </c>
      <c r="F186" s="708"/>
      <c r="G186" s="1084" t="s">
        <v>3918</v>
      </c>
    </row>
    <row r="187" spans="1:7" s="42" customFormat="1" ht="6" customHeight="1">
      <c r="A187" s="100"/>
      <c r="B187" s="394"/>
      <c r="C187" s="1087"/>
      <c r="D187" s="1087"/>
      <c r="E187" s="1086"/>
      <c r="F187" s="396"/>
      <c r="G187" s="396"/>
    </row>
    <row r="188" spans="1:7" s="42" customFormat="1" ht="12" customHeight="1">
      <c r="A188" s="387">
        <v>30</v>
      </c>
      <c r="B188" s="1087" t="s">
        <v>3883</v>
      </c>
      <c r="C188" s="241"/>
      <c r="D188" s="1087"/>
      <c r="E188" s="1086" t="s">
        <v>1637</v>
      </c>
      <c r="F188" s="396"/>
      <c r="G188" s="1084" t="s">
        <v>3918</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3547</v>
      </c>
      <c r="F191" s="1106"/>
      <c r="G191" s="1084" t="s">
        <v>2253</v>
      </c>
    </row>
    <row r="192" spans="1:7" s="42" customFormat="1" ht="12" customHeight="1">
      <c r="A192" s="387"/>
      <c r="C192" s="1104"/>
      <c r="D192" s="1087"/>
      <c r="E192" s="1107" t="s">
        <v>1638</v>
      </c>
      <c r="F192" s="1108"/>
      <c r="G192" s="1084" t="s">
        <v>2253</v>
      </c>
    </row>
    <row r="193" spans="1:7" s="42" customFormat="1" ht="12" customHeight="1">
      <c r="A193" s="104"/>
      <c r="C193" s="241"/>
      <c r="D193" s="1087"/>
      <c r="E193" s="1109" t="s">
        <v>3548</v>
      </c>
      <c r="F193" s="1110"/>
      <c r="G193" s="1084" t="s">
        <v>2253</v>
      </c>
    </row>
    <row r="194" spans="1:7" s="42" customFormat="1" ht="12" customHeight="1">
      <c r="A194" s="104"/>
      <c r="C194" s="241"/>
      <c r="D194" s="1087"/>
      <c r="E194" s="1086" t="s">
        <v>3549</v>
      </c>
      <c r="F194" s="396"/>
      <c r="G194" s="1084" t="s">
        <v>2253</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3795</v>
      </c>
      <c r="F196" s="396"/>
      <c r="G196" s="1084" t="s">
        <v>2253</v>
      </c>
    </row>
    <row r="197" spans="1:7" s="42" customFormat="1" ht="12" customHeight="1">
      <c r="A197" s="104"/>
      <c r="B197" s="241"/>
      <c r="C197" s="241"/>
      <c r="D197" s="1087"/>
      <c r="E197" s="1086" t="s">
        <v>3381</v>
      </c>
      <c r="F197" s="396"/>
      <c r="G197" s="1084" t="s">
        <v>2253</v>
      </c>
    </row>
    <row r="198" spans="1:7" s="42" customFormat="1" ht="12" customHeight="1">
      <c r="A198" s="104"/>
      <c r="B198" s="1086"/>
      <c r="C198" s="408"/>
      <c r="D198" s="1087"/>
      <c r="E198" s="1086" t="s">
        <v>167</v>
      </c>
      <c r="F198" s="396"/>
      <c r="G198" s="1084" t="s">
        <v>2253</v>
      </c>
    </row>
    <row r="199" spans="1:7" s="42" customFormat="1" ht="12" customHeight="1">
      <c r="A199" s="104"/>
      <c r="B199" s="1086"/>
      <c r="C199" s="1087"/>
      <c r="D199" s="1087"/>
      <c r="E199" s="1086" t="s">
        <v>3882</v>
      </c>
      <c r="F199" s="396"/>
      <c r="G199" s="1084" t="s">
        <v>2253</v>
      </c>
    </row>
    <row r="200" spans="1:7" s="42" customFormat="1" ht="12" customHeight="1">
      <c r="A200" s="104"/>
      <c r="B200" s="711"/>
      <c r="C200" s="1087"/>
      <c r="D200" s="1087"/>
      <c r="E200" s="1086" t="s">
        <v>168</v>
      </c>
      <c r="F200" s="396"/>
      <c r="G200" s="1084" t="s">
        <v>2253</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11"/>
      <c r="C203" s="1087"/>
      <c r="D203" s="1087"/>
      <c r="E203" s="1086" t="s">
        <v>2733</v>
      </c>
      <c r="F203" s="396"/>
      <c r="G203" s="1084" t="s">
        <v>2253</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3507</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11"/>
      <c r="C209" s="1087"/>
      <c r="D209" s="1087"/>
      <c r="E209" s="1086" t="s">
        <v>174</v>
      </c>
      <c r="F209" s="396"/>
      <c r="G209" s="1084" t="s">
        <v>2253</v>
      </c>
    </row>
    <row r="210" spans="1:7" s="42" customFormat="1" ht="12" customHeight="1">
      <c r="A210" s="107"/>
      <c r="B210" s="711"/>
      <c r="C210" s="1087"/>
      <c r="D210" s="1087"/>
      <c r="E210" s="1086" t="s">
        <v>175</v>
      </c>
      <c r="F210" s="396"/>
      <c r="G210" s="1084" t="s">
        <v>2253</v>
      </c>
    </row>
    <row r="211" spans="1:7" s="42" customFormat="1" ht="12" customHeight="1">
      <c r="A211" s="387">
        <v>32</v>
      </c>
      <c r="B211" s="1087" t="s">
        <v>3360</v>
      </c>
      <c r="C211" s="241"/>
      <c r="D211" s="1087"/>
      <c r="E211" s="1086" t="s">
        <v>176</v>
      </c>
      <c r="F211" s="396"/>
      <c r="G211" s="1084" t="s">
        <v>2253</v>
      </c>
    </row>
    <row r="212" spans="1:7" s="42" customFormat="1" ht="6" customHeight="1">
      <c r="A212" s="104"/>
      <c r="B212" s="711"/>
      <c r="C212" s="1087"/>
      <c r="D212" s="1087"/>
      <c r="E212" s="1086"/>
      <c r="F212" s="396"/>
      <c r="G212" s="313"/>
    </row>
    <row r="213" spans="1:7" s="42" customFormat="1" ht="12" customHeight="1">
      <c r="A213" s="387">
        <v>33</v>
      </c>
      <c r="B213" s="1087" t="s">
        <v>2840</v>
      </c>
      <c r="C213" s="241"/>
      <c r="D213" s="1087"/>
      <c r="E213" s="757" t="s">
        <v>180</v>
      </c>
      <c r="F213" s="751"/>
      <c r="G213" s="1084" t="s">
        <v>2253</v>
      </c>
    </row>
    <row r="214" spans="1:7" s="42" customFormat="1" ht="12" customHeight="1">
      <c r="A214" s="387"/>
      <c r="B214" s="241"/>
      <c r="C214" s="241"/>
      <c r="D214" s="1087"/>
      <c r="E214" s="757" t="s">
        <v>181</v>
      </c>
      <c r="F214" s="751"/>
      <c r="G214" s="1084" t="s">
        <v>2253</v>
      </c>
    </row>
    <row r="215" spans="1:7" s="42" customFormat="1" ht="12" customHeight="1">
      <c r="A215" s="387"/>
      <c r="B215" s="241"/>
      <c r="C215" s="241"/>
      <c r="D215" s="1087"/>
      <c r="E215" s="393" t="s">
        <v>3508</v>
      </c>
      <c r="F215" s="708"/>
      <c r="G215" s="1084" t="s">
        <v>2253</v>
      </c>
    </row>
    <row r="216" spans="1:7" s="42" customFormat="1" ht="6" customHeight="1">
      <c r="A216" s="104"/>
      <c r="B216" s="711"/>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11" t="s">
        <v>2670</v>
      </c>
      <c r="D220" s="1087"/>
      <c r="E220" s="1086" t="s">
        <v>183</v>
      </c>
      <c r="F220" s="396"/>
      <c r="G220" s="1084" t="s">
        <v>2253</v>
      </c>
    </row>
    <row r="221" spans="1:7" s="42" customFormat="1" ht="6" customHeight="1">
      <c r="A221" s="104"/>
      <c r="B221" s="711"/>
      <c r="C221" s="1087"/>
      <c r="D221" s="1087"/>
      <c r="E221" s="1086"/>
      <c r="F221" s="396"/>
      <c r="G221" s="313"/>
    </row>
    <row r="222" spans="1:7" s="42" customFormat="1" ht="12" customHeight="1">
      <c r="A222" s="387">
        <v>35</v>
      </c>
      <c r="B222" s="1087" t="s">
        <v>1906</v>
      </c>
      <c r="C222" s="241"/>
      <c r="D222" s="1087"/>
      <c r="E222" s="1086" t="s">
        <v>1907</v>
      </c>
      <c r="F222" s="396"/>
      <c r="G222" s="1084" t="s">
        <v>3918</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1908</v>
      </c>
      <c r="F224" s="396"/>
      <c r="G224" s="1084" t="s">
        <v>3918</v>
      </c>
    </row>
    <row r="225" spans="1:7" s="42" customFormat="1" ht="6" customHeight="1">
      <c r="A225" s="104"/>
      <c r="B225" s="711"/>
      <c r="C225" s="1087"/>
      <c r="D225" s="1087"/>
      <c r="E225" s="1086"/>
      <c r="F225" s="396"/>
      <c r="G225" s="106"/>
    </row>
    <row r="226" spans="1:7" s="42" customFormat="1" ht="12" customHeight="1">
      <c r="A226" s="387">
        <v>37</v>
      </c>
      <c r="B226" s="1087" t="s">
        <v>2735</v>
      </c>
      <c r="C226" s="241"/>
      <c r="D226" s="1087"/>
      <c r="E226" s="1086" t="s">
        <v>526</v>
      </c>
      <c r="F226" s="396"/>
      <c r="G226" s="1084" t="s">
        <v>2253</v>
      </c>
    </row>
    <row r="227" spans="1:7" s="42" customFormat="1" ht="12" customHeight="1">
      <c r="A227" s="104"/>
      <c r="B227" s="1086"/>
      <c r="C227" s="1087"/>
      <c r="D227" s="1087"/>
      <c r="E227" s="396" t="s">
        <v>527</v>
      </c>
      <c r="F227" s="396"/>
      <c r="G227" s="1084" t="s">
        <v>2253</v>
      </c>
    </row>
    <row r="228" spans="1:7" s="42" customFormat="1" ht="12" customHeight="1">
      <c r="A228" s="104"/>
      <c r="B228" s="1086"/>
      <c r="C228" s="408"/>
      <c r="D228" s="1087"/>
      <c r="E228" s="1086" t="s">
        <v>528</v>
      </c>
      <c r="F228" s="396"/>
      <c r="G228" s="1084" t="s">
        <v>2253</v>
      </c>
    </row>
    <row r="229" spans="1:7" s="42" customFormat="1" ht="12" customHeight="1">
      <c r="A229" s="104"/>
      <c r="B229" s="711"/>
      <c r="C229" s="1087"/>
      <c r="D229" s="1087"/>
      <c r="E229" s="1111" t="s">
        <v>529</v>
      </c>
      <c r="F229" s="396"/>
      <c r="G229" s="1084" t="s">
        <v>2253</v>
      </c>
    </row>
    <row r="230" spans="1:7" s="42" customFormat="1" ht="12" customHeight="1">
      <c r="A230" s="104"/>
      <c r="B230" s="1086"/>
      <c r="E230" s="1086" t="s">
        <v>35</v>
      </c>
      <c r="F230" s="396"/>
      <c r="G230" s="1084" t="s">
        <v>2253</v>
      </c>
    </row>
    <row r="231" spans="1:7" s="42" customFormat="1" ht="12" customHeight="1">
      <c r="A231" s="104"/>
      <c r="B231" s="711"/>
      <c r="E231" s="1111" t="s">
        <v>36</v>
      </c>
      <c r="F231" s="396"/>
      <c r="G231" s="1084" t="s">
        <v>2253</v>
      </c>
    </row>
    <row r="232" spans="1:7" s="42" customFormat="1" ht="6" customHeight="1">
      <c r="A232" s="104"/>
      <c r="B232" s="711"/>
      <c r="C232" s="1087"/>
      <c r="D232" s="1087"/>
      <c r="E232" s="1086"/>
      <c r="F232" s="396"/>
      <c r="G232" s="106"/>
    </row>
    <row r="233" spans="1:7" s="42" customFormat="1" ht="12" customHeight="1">
      <c r="A233" s="387">
        <v>38</v>
      </c>
      <c r="B233" s="1087" t="s">
        <v>3550</v>
      </c>
      <c r="C233" s="241"/>
      <c r="D233" s="1087"/>
      <c r="E233" s="1086" t="s">
        <v>3509</v>
      </c>
      <c r="F233" s="396"/>
      <c r="G233" s="1084" t="s">
        <v>3918</v>
      </c>
    </row>
    <row r="234" spans="1:7" s="42" customFormat="1" ht="12" customHeight="1">
      <c r="A234" s="104"/>
      <c r="B234" s="1086"/>
      <c r="C234" s="1087"/>
      <c r="D234" s="1087"/>
      <c r="E234" s="396" t="s">
        <v>3510</v>
      </c>
      <c r="F234" s="396"/>
      <c r="G234" s="1084" t="s">
        <v>3918</v>
      </c>
    </row>
    <row r="235" spans="1:7" s="42" customFormat="1" ht="6" customHeight="1">
      <c r="A235" s="104"/>
      <c r="B235" s="417"/>
      <c r="C235" s="1112"/>
      <c r="D235" s="1112"/>
      <c r="E235" s="1113"/>
      <c r="F235" s="106"/>
      <c r="G235" s="106"/>
    </row>
    <row r="236" spans="1:7" s="42" customFormat="1" ht="13.15" customHeight="1">
      <c r="A236" s="387">
        <v>39</v>
      </c>
      <c r="B236" s="1087" t="s">
        <v>2363</v>
      </c>
      <c r="E236" s="1114"/>
      <c r="F236" s="1114"/>
      <c r="G236" s="1084" t="s">
        <v>2253</v>
      </c>
    </row>
    <row r="237" spans="1:7" s="42" customFormat="1" ht="12.6" customHeight="1">
      <c r="A237" s="104"/>
      <c r="C237" s="1115" t="s">
        <v>1026</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3125</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5" zoomScaleNormal="85" workbookViewId="0">
      <selection activeCell="C12" sqref="C12"/>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2011-030 Water Tower Park Apartments, Gray, Jones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3570</v>
      </c>
      <c r="C3" s="2"/>
      <c r="D3" s="167" t="s">
        <v>328</v>
      </c>
      <c r="E3" s="2"/>
      <c r="F3" s="2"/>
      <c r="G3" s="167"/>
      <c r="H3" s="167"/>
      <c r="I3" s="167"/>
      <c r="J3" s="167"/>
      <c r="K3" s="167"/>
      <c r="L3" s="167"/>
      <c r="N3" s="707" t="s">
        <v>886</v>
      </c>
      <c r="O3" s="983" t="str">
        <f>'Part I-Project Information'!$J$26</f>
        <v>Macon</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3685</v>
      </c>
      <c r="FA3" s="655" t="s">
        <v>3686</v>
      </c>
      <c r="FB3" s="655" t="s">
        <v>3687</v>
      </c>
      <c r="FC3" s="655" t="s">
        <v>3688</v>
      </c>
      <c r="FD3" s="656"/>
      <c r="FE3" s="656"/>
      <c r="FF3" s="656"/>
      <c r="FG3" s="656"/>
      <c r="FH3" s="656"/>
      <c r="FI3" s="655" t="s">
        <v>716</v>
      </c>
      <c r="FJ3" s="655" t="s">
        <v>3685</v>
      </c>
      <c r="FK3" s="655" t="s">
        <v>3686</v>
      </c>
      <c r="FL3" s="655" t="s">
        <v>3687</v>
      </c>
      <c r="FM3" s="655" t="s">
        <v>3688</v>
      </c>
      <c r="FN3" s="655" t="s">
        <v>716</v>
      </c>
      <c r="FO3" s="655" t="s">
        <v>3685</v>
      </c>
      <c r="FP3" s="655" t="s">
        <v>3686</v>
      </c>
      <c r="FQ3" s="655" t="s">
        <v>3687</v>
      </c>
      <c r="FR3" s="655" t="s">
        <v>3688</v>
      </c>
      <c r="FS3" s="655" t="s">
        <v>716</v>
      </c>
      <c r="FT3" s="655" t="s">
        <v>3685</v>
      </c>
      <c r="FU3" s="655" t="s">
        <v>3686</v>
      </c>
      <c r="FV3" s="655" t="s">
        <v>3687</v>
      </c>
      <c r="FW3" s="655" t="s">
        <v>3688</v>
      </c>
      <c r="FX3" s="655" t="s">
        <v>716</v>
      </c>
      <c r="FY3" s="655" t="s">
        <v>3685</v>
      </c>
      <c r="FZ3" s="655" t="s">
        <v>3686</v>
      </c>
      <c r="GA3" s="655" t="s">
        <v>3687</v>
      </c>
      <c r="GB3" s="655" t="s">
        <v>3688</v>
      </c>
      <c r="GC3" s="655" t="s">
        <v>716</v>
      </c>
      <c r="GD3" s="655" t="s">
        <v>3685</v>
      </c>
      <c r="GE3" s="655" t="s">
        <v>3686</v>
      </c>
      <c r="GF3" s="655" t="s">
        <v>3687</v>
      </c>
      <c r="GG3" s="655" t="s">
        <v>3688</v>
      </c>
      <c r="GH3" s="655" t="s">
        <v>716</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1513</v>
      </c>
      <c r="U4" s="965" t="s">
        <v>1247</v>
      </c>
      <c r="V4" s="965" t="s">
        <v>1248</v>
      </c>
      <c r="W4" s="965" t="s">
        <v>1249</v>
      </c>
      <c r="X4" s="965" t="s">
        <v>1250</v>
      </c>
      <c r="Y4" s="965" t="s">
        <v>1514</v>
      </c>
      <c r="Z4" s="965" t="s">
        <v>3451</v>
      </c>
      <c r="AA4" s="965" t="s">
        <v>3452</v>
      </c>
      <c r="AB4" s="965" t="s">
        <v>3453</v>
      </c>
      <c r="AC4" s="965" t="s">
        <v>3454</v>
      </c>
      <c r="AD4" s="965" t="s">
        <v>1515</v>
      </c>
      <c r="AE4" s="965" t="s">
        <v>3455</v>
      </c>
      <c r="AF4" s="965" t="s">
        <v>3456</v>
      </c>
      <c r="AG4" s="965" t="s">
        <v>3457</v>
      </c>
      <c r="AH4" s="965" t="s">
        <v>3458</v>
      </c>
      <c r="AI4" s="965" t="s">
        <v>152</v>
      </c>
      <c r="AJ4" s="965" t="s">
        <v>3459</v>
      </c>
      <c r="AK4" s="965" t="s">
        <v>3460</v>
      </c>
      <c r="AL4" s="965" t="s">
        <v>3461</v>
      </c>
      <c r="AM4" s="965" t="s">
        <v>1790</v>
      </c>
      <c r="AN4" s="965" t="s">
        <v>853</v>
      </c>
      <c r="AO4" s="965" t="s">
        <v>854</v>
      </c>
      <c r="AP4" s="965" t="s">
        <v>891</v>
      </c>
      <c r="AQ4" s="965" t="s">
        <v>892</v>
      </c>
      <c r="AR4" s="965" t="s">
        <v>893</v>
      </c>
      <c r="AS4" s="965" t="s">
        <v>894</v>
      </c>
      <c r="AT4" s="965" t="s">
        <v>895</v>
      </c>
      <c r="AU4" s="965" t="s">
        <v>896</v>
      </c>
      <c r="AV4" s="965" t="s">
        <v>897</v>
      </c>
      <c r="AW4" s="965" t="s">
        <v>898</v>
      </c>
      <c r="AX4" s="965" t="s">
        <v>899</v>
      </c>
      <c r="AY4" s="965" t="s">
        <v>900</v>
      </c>
      <c r="AZ4" s="965" t="s">
        <v>1526</v>
      </c>
      <c r="BA4" s="965" t="s">
        <v>1527</v>
      </c>
      <c r="BB4" s="965" t="s">
        <v>1528</v>
      </c>
      <c r="BC4" s="965" t="s">
        <v>736</v>
      </c>
      <c r="BD4" s="965" t="s">
        <v>737</v>
      </c>
      <c r="BE4" s="965" t="s">
        <v>738</v>
      </c>
      <c r="BF4" s="965" t="s">
        <v>739</v>
      </c>
      <c r="BG4" s="965" t="s">
        <v>740</v>
      </c>
      <c r="BH4" s="965" t="s">
        <v>1472</v>
      </c>
      <c r="BI4" s="965" t="s">
        <v>1473</v>
      </c>
      <c r="BJ4" s="965" t="s">
        <v>1474</v>
      </c>
      <c r="BK4" s="965" t="s">
        <v>1475</v>
      </c>
      <c r="BL4" s="965" t="s">
        <v>1476</v>
      </c>
      <c r="BM4" s="965" t="s">
        <v>1477</v>
      </c>
      <c r="BN4" s="965" t="s">
        <v>1478</v>
      </c>
      <c r="BO4" s="965" t="s">
        <v>1479</v>
      </c>
      <c r="BP4" s="965" t="s">
        <v>1480</v>
      </c>
      <c r="BQ4" s="965" t="s">
        <v>1481</v>
      </c>
      <c r="BR4" s="965" t="s">
        <v>3675</v>
      </c>
      <c r="BS4" s="965" t="s">
        <v>3676</v>
      </c>
      <c r="BT4" s="965" t="s">
        <v>3677</v>
      </c>
      <c r="BU4" s="965" t="s">
        <v>3678</v>
      </c>
      <c r="BV4" s="965" t="s">
        <v>3679</v>
      </c>
      <c r="BW4" s="965" t="s">
        <v>132</v>
      </c>
      <c r="BX4" s="965" t="s">
        <v>1793</v>
      </c>
      <c r="BY4" s="965" t="s">
        <v>1794</v>
      </c>
      <c r="BZ4" s="965" t="s">
        <v>1874</v>
      </c>
      <c r="CA4" s="965"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3674</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2847</v>
      </c>
      <c r="DT4" s="964" t="s">
        <v>2848</v>
      </c>
      <c r="DU4" s="964" t="s">
        <v>2849</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3320</v>
      </c>
      <c r="EK4" s="964" t="s">
        <v>3321</v>
      </c>
      <c r="EL4" s="964" t="s">
        <v>3322</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3810</v>
      </c>
      <c r="GO4" s="964" t="s">
        <v>3811</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2897</v>
      </c>
      <c r="D5" s="2"/>
      <c r="E5" s="5"/>
      <c r="F5" s="2"/>
      <c r="G5" s="1302"/>
      <c r="O5" s="2"/>
      <c r="P5" s="657" t="s">
        <v>1658</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2838</v>
      </c>
      <c r="D6" s="2"/>
      <c r="E6" s="5"/>
      <c r="G6" s="1303"/>
      <c r="J6" s="737" t="s">
        <v>3644</v>
      </c>
      <c r="O6" s="2"/>
      <c r="P6" s="658">
        <f>VLOOKUP('Part I-Project Information'!$J$26,'DCA Underwriting Assumptions'!$C$77:$D$187,2)</f>
        <v>52400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3645</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2212</v>
      </c>
      <c r="C8" s="737" t="s">
        <v>228</v>
      </c>
      <c r="D8" s="737" t="s">
        <v>839</v>
      </c>
      <c r="E8" s="737" t="s">
        <v>2210</v>
      </c>
      <c r="F8" s="737" t="s">
        <v>2210</v>
      </c>
      <c r="G8" s="737" t="s">
        <v>3616</v>
      </c>
      <c r="H8" s="737" t="s">
        <v>3614</v>
      </c>
      <c r="I8" s="737" t="s">
        <v>1380</v>
      </c>
      <c r="J8" s="737" t="s">
        <v>3646</v>
      </c>
      <c r="K8" s="981" t="s">
        <v>186</v>
      </c>
      <c r="L8" s="981"/>
      <c r="M8" s="737" t="s">
        <v>3571</v>
      </c>
      <c r="N8" s="737" t="s">
        <v>825</v>
      </c>
      <c r="O8" s="737" t="s">
        <v>487</v>
      </c>
      <c r="P8" s="984" t="s">
        <v>1665</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3685</v>
      </c>
      <c r="EV8" s="445" t="s">
        <v>3686</v>
      </c>
      <c r="EW8" s="445" t="s">
        <v>3687</v>
      </c>
      <c r="EX8" s="445" t="s">
        <v>3688</v>
      </c>
      <c r="EY8" s="964" t="s">
        <v>3775</v>
      </c>
      <c r="EZ8" s="964" t="s">
        <v>3775</v>
      </c>
      <c r="FA8" s="964" t="s">
        <v>3775</v>
      </c>
      <c r="FB8" s="964" t="s">
        <v>3775</v>
      </c>
      <c r="FC8" s="964" t="s">
        <v>3775</v>
      </c>
      <c r="FD8" s="445" t="s">
        <v>716</v>
      </c>
      <c r="FE8" s="445" t="s">
        <v>3685</v>
      </c>
      <c r="FF8" s="445" t="s">
        <v>3686</v>
      </c>
      <c r="FG8" s="445" t="s">
        <v>3687</v>
      </c>
      <c r="FH8" s="445" t="s">
        <v>3688</v>
      </c>
      <c r="FI8" s="964" t="s">
        <v>3777</v>
      </c>
      <c r="FJ8" s="964" t="s">
        <v>3777</v>
      </c>
      <c r="FK8" s="964" t="s">
        <v>3777</v>
      </c>
      <c r="FL8" s="964" t="s">
        <v>3777</v>
      </c>
      <c r="FM8" s="964" t="s">
        <v>3777</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1996</v>
      </c>
      <c r="C9" s="737" t="s">
        <v>227</v>
      </c>
      <c r="D9" s="737" t="s">
        <v>229</v>
      </c>
      <c r="E9" s="737" t="s">
        <v>2211</v>
      </c>
      <c r="F9" s="737" t="s">
        <v>1963</v>
      </c>
      <c r="G9" s="737" t="s">
        <v>1964</v>
      </c>
      <c r="H9" s="737" t="s">
        <v>3615</v>
      </c>
      <c r="I9" s="737" t="s">
        <v>1381</v>
      </c>
      <c r="J9" s="684" t="s">
        <v>450</v>
      </c>
      <c r="K9" s="737" t="s">
        <v>2281</v>
      </c>
      <c r="L9" s="737" t="s">
        <v>832</v>
      </c>
      <c r="M9" s="737" t="s">
        <v>2210</v>
      </c>
      <c r="N9" s="737" t="s">
        <v>1996</v>
      </c>
      <c r="O9" s="737" t="s">
        <v>488</v>
      </c>
      <c r="P9" s="738" t="s">
        <v>1663</v>
      </c>
      <c r="Q9" s="738" t="s">
        <v>1664</v>
      </c>
      <c r="R9" s="738"/>
      <c r="S9" s="738"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3774</v>
      </c>
      <c r="EV9" s="445" t="s">
        <v>3774</v>
      </c>
      <c r="EW9" s="445" t="s">
        <v>3774</v>
      </c>
      <c r="EX9" s="445" t="s">
        <v>3774</v>
      </c>
      <c r="EY9" s="964"/>
      <c r="EZ9" s="964"/>
      <c r="FA9" s="964"/>
      <c r="FB9" s="964"/>
      <c r="FC9" s="964"/>
      <c r="FD9" s="445" t="s">
        <v>3776</v>
      </c>
      <c r="FE9" s="445" t="s">
        <v>3776</v>
      </c>
      <c r="FF9" s="445" t="s">
        <v>3776</v>
      </c>
      <c r="FG9" s="445" t="s">
        <v>3776</v>
      </c>
      <c r="FH9" s="445" t="s">
        <v>3776</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1</v>
      </c>
      <c r="F10" s="1307">
        <v>750</v>
      </c>
      <c r="G10" s="1307">
        <v>506</v>
      </c>
      <c r="H10" s="1307">
        <v>506</v>
      </c>
      <c r="I10" s="1307">
        <v>102</v>
      </c>
      <c r="J10" s="1308"/>
      <c r="K10" s="226">
        <f>MAX(0,H10-I10)</f>
        <v>404</v>
      </c>
      <c r="L10" s="226">
        <f t="shared" ref="L10:L47" si="0">MAX(0,E10*K10)</f>
        <v>404</v>
      </c>
      <c r="M10" s="1309" t="s">
        <v>3919</v>
      </c>
      <c r="N10" s="1309" t="s">
        <v>3977</v>
      </c>
      <c r="O10" s="1309" t="s">
        <v>3434</v>
      </c>
      <c r="P10" s="581">
        <f>IF(H10="","",H10*12/0.3)</f>
        <v>20240</v>
      </c>
      <c r="Q10" s="582">
        <f>IF(H10="","",P10/($P$6*VLOOKUP(C10,'DCA Underwriting Assumptions'!$J$77:$K$82,2,FALSE)))</f>
        <v>0.51501272264631048</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750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1</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1</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2</v>
      </c>
      <c r="D11" s="1312">
        <v>2</v>
      </c>
      <c r="E11" s="1313">
        <v>4</v>
      </c>
      <c r="F11" s="1313">
        <v>975</v>
      </c>
      <c r="G11" s="1313">
        <v>607</v>
      </c>
      <c r="H11" s="1313">
        <v>607</v>
      </c>
      <c r="I11" s="1313">
        <v>131</v>
      </c>
      <c r="J11" s="1314"/>
      <c r="K11" s="227">
        <f t="shared" ref="K11:K27" si="172">MAX(0,H11-I11)</f>
        <v>476</v>
      </c>
      <c r="L11" s="227">
        <f t="shared" si="0"/>
        <v>1904</v>
      </c>
      <c r="M11" s="1315" t="s">
        <v>3919</v>
      </c>
      <c r="N11" s="1315" t="s">
        <v>3977</v>
      </c>
      <c r="O11" s="1315" t="s">
        <v>3434</v>
      </c>
      <c r="P11" s="581">
        <f>IF(H11="","",H11*12/0.3)</f>
        <v>24280</v>
      </c>
      <c r="Q11" s="582">
        <f>IF(H11="","",P11/($P$6*VLOOKUP(C11,'DCA Underwriting Assumptions'!$J$77:$K$82,2,FALSE)))</f>
        <v>0.51484308736217133</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4</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3900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4</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4</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4</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3</v>
      </c>
      <c r="D12" s="1312">
        <v>2</v>
      </c>
      <c r="E12" s="1313">
        <v>3</v>
      </c>
      <c r="F12" s="1313">
        <v>1105</v>
      </c>
      <c r="G12" s="1313">
        <v>702</v>
      </c>
      <c r="H12" s="1313">
        <v>702</v>
      </c>
      <c r="I12" s="1313">
        <v>161</v>
      </c>
      <c r="J12" s="1314"/>
      <c r="K12" s="227">
        <f t="shared" si="172"/>
        <v>541</v>
      </c>
      <c r="L12" s="227">
        <f t="shared" si="0"/>
        <v>1623</v>
      </c>
      <c r="M12" s="1315" t="s">
        <v>3919</v>
      </c>
      <c r="N12" s="1315" t="s">
        <v>3977</v>
      </c>
      <c r="O12" s="1315" t="s">
        <v>3434</v>
      </c>
      <c r="P12" s="581">
        <f>IF(H12="","",H12*12/0.3)</f>
        <v>28080</v>
      </c>
      <c r="Q12" s="582">
        <f>IF(H12="","",P12/($P$6*VLOOKUP(C12,'DCA Underwriting Assumptions'!$J$77:$K$82,2,FALSE)))</f>
        <v>0.51526717557251911</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3</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3315</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3</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3</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f t="shared" si="144"/>
        <v>3</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1791</v>
      </c>
      <c r="C13" s="1311">
        <v>1</v>
      </c>
      <c r="D13" s="1312">
        <v>1</v>
      </c>
      <c r="E13" s="1313">
        <v>5</v>
      </c>
      <c r="F13" s="1313">
        <v>750</v>
      </c>
      <c r="G13" s="1313">
        <v>607</v>
      </c>
      <c r="H13" s="1313">
        <v>577</v>
      </c>
      <c r="I13" s="1313">
        <v>102</v>
      </c>
      <c r="J13" s="1314"/>
      <c r="K13" s="227">
        <f t="shared" si="172"/>
        <v>475</v>
      </c>
      <c r="L13" s="227">
        <f t="shared" si="0"/>
        <v>2375</v>
      </c>
      <c r="M13" s="1315" t="s">
        <v>3919</v>
      </c>
      <c r="N13" s="1315" t="s">
        <v>3977</v>
      </c>
      <c r="O13" s="1315" t="s">
        <v>3434</v>
      </c>
      <c r="P13" s="581">
        <f>IF(H13="","",H13*12/0.3)</f>
        <v>23080</v>
      </c>
      <c r="Q13" s="582">
        <f>IF(H13="","",P13/($P$6*VLOOKUP(C13,'DCA Underwriting Assumptions'!$J$77:$K$82,2,FALSE)))</f>
        <v>0.58727735368956746</v>
      </c>
      <c r="R13" s="738"/>
      <c r="S13" s="659"/>
      <c r="T13" s="113" t="str">
        <f t="shared" si="1"/>
        <v/>
      </c>
      <c r="U13" s="113">
        <f t="shared" si="2"/>
        <v>5</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3750</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f t="shared" si="57"/>
        <v>5</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5</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f t="shared" si="142"/>
        <v>5</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1791</v>
      </c>
      <c r="C14" s="1311">
        <v>2</v>
      </c>
      <c r="D14" s="1312">
        <v>2</v>
      </c>
      <c r="E14" s="1313">
        <v>22</v>
      </c>
      <c r="F14" s="1313">
        <v>975</v>
      </c>
      <c r="G14" s="1313">
        <v>729</v>
      </c>
      <c r="H14" s="1313">
        <v>681</v>
      </c>
      <c r="I14" s="1313">
        <v>131</v>
      </c>
      <c r="J14" s="1314"/>
      <c r="K14" s="227">
        <f t="shared" si="172"/>
        <v>550</v>
      </c>
      <c r="L14" s="227">
        <f t="shared" si="0"/>
        <v>12100</v>
      </c>
      <c r="M14" s="1315" t="s">
        <v>3919</v>
      </c>
      <c r="N14" s="1315" t="s">
        <v>3977</v>
      </c>
      <c r="O14" s="1315" t="s">
        <v>3434</v>
      </c>
      <c r="P14" s="581">
        <f>IF(H14="","",H14*12/0.3)</f>
        <v>27240</v>
      </c>
      <c r="Q14" s="582">
        <f>IF(H14="","",P14/($P$6*VLOOKUP(C14,'DCA Underwriting Assumptions'!$J$77:$K$82,2,FALSE)))</f>
        <v>0.57760814249363868</v>
      </c>
      <c r="R14" s="738"/>
      <c r="S14" s="659"/>
      <c r="T14" s="113" t="str">
        <f t="shared" si="1"/>
        <v/>
      </c>
      <c r="U14" s="113" t="str">
        <f t="shared" si="2"/>
        <v/>
      </c>
      <c r="V14" s="113">
        <f t="shared" si="3"/>
        <v>22</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21450</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22</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22</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f t="shared" si="143"/>
        <v>22</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1791</v>
      </c>
      <c r="C15" s="1311">
        <v>3</v>
      </c>
      <c r="D15" s="1312">
        <v>2</v>
      </c>
      <c r="E15" s="1313">
        <v>13</v>
      </c>
      <c r="F15" s="1313">
        <v>1105</v>
      </c>
      <c r="G15" s="1313">
        <v>843</v>
      </c>
      <c r="H15" s="1313">
        <v>786</v>
      </c>
      <c r="I15" s="1313">
        <v>161</v>
      </c>
      <c r="J15" s="1314"/>
      <c r="K15" s="227">
        <f t="shared" si="172"/>
        <v>625</v>
      </c>
      <c r="L15" s="227">
        <f t="shared" si="0"/>
        <v>8125</v>
      </c>
      <c r="M15" s="1315" t="s">
        <v>3919</v>
      </c>
      <c r="N15" s="1315" t="s">
        <v>3977</v>
      </c>
      <c r="O15" s="1315" t="s">
        <v>3434</v>
      </c>
      <c r="P15" s="581">
        <f t="shared" ref="P15:P47" si="203">IF(H15="","",H15*12/0.3)</f>
        <v>31440</v>
      </c>
      <c r="Q15" s="582">
        <f>IF(H15="","",P15/($P$6*VLOOKUP(C15,'DCA Underwriting Assumptions'!$J$77:$K$82,2,FALSE)))</f>
        <v>0.57692307692307687</v>
      </c>
      <c r="R15" s="738"/>
      <c r="S15" s="659"/>
      <c r="T15" s="113" t="str">
        <f t="shared" si="1"/>
        <v/>
      </c>
      <c r="U15" s="113" t="str">
        <f t="shared" si="2"/>
        <v/>
      </c>
      <c r="V15" s="113" t="str">
        <f t="shared" si="3"/>
        <v/>
      </c>
      <c r="W15" s="113">
        <f t="shared" si="4"/>
        <v>13</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14365</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13</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f t="shared" si="104"/>
        <v>13</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f t="shared" si="144"/>
        <v>13</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48</v>
      </c>
      <c r="F48" s="171">
        <f>(E10*F10+E11*F11+E12*F12+E13*F13+E14*F14+E15*F15+E16*F16+E17*F17+E18*F18+E19*F19+E20*F20+E21*F21+E22*F22+E23*F23+E24*F24+E25*F25+E26*F26+E27*F27+E28*F28+E29*F29+E30*F30+E31*F31+E32*F32+E33*F33+E34*F34+E35*F35+E36*F36+E37*F37+E38*F38+E39*F39+E40*F40+E41*F41+E42*F42+E43*F43+E44*F44+E45*F45+E46*F46+E47*F47)</f>
        <v>47530</v>
      </c>
      <c r="G48" s="162"/>
      <c r="H48" s="163"/>
      <c r="I48" s="163"/>
      <c r="J48" s="163"/>
      <c r="K48" s="15" t="s">
        <v>2002</v>
      </c>
      <c r="L48" s="169">
        <f>SUM(L10:L47)</f>
        <v>26531</v>
      </c>
      <c r="M48" s="2"/>
      <c r="N48" s="42"/>
      <c r="O48" s="2"/>
      <c r="P48" s="122"/>
      <c r="Q48" s="122"/>
      <c r="R48" s="738"/>
      <c r="S48" s="446"/>
      <c r="T48" s="446">
        <f t="shared" ref="T48:CI48" si="206">SUM(T10:T47)</f>
        <v>0</v>
      </c>
      <c r="U48" s="446">
        <f t="shared" si="206"/>
        <v>5</v>
      </c>
      <c r="V48" s="446">
        <f t="shared" si="206"/>
        <v>22</v>
      </c>
      <c r="W48" s="446">
        <f t="shared" si="206"/>
        <v>13</v>
      </c>
      <c r="X48" s="446">
        <f t="shared" si="206"/>
        <v>0</v>
      </c>
      <c r="Y48" s="446">
        <f t="shared" si="206"/>
        <v>0</v>
      </c>
      <c r="Z48" s="446">
        <f t="shared" si="206"/>
        <v>1</v>
      </c>
      <c r="AA48" s="446">
        <f t="shared" si="206"/>
        <v>4</v>
      </c>
      <c r="AB48" s="446">
        <f t="shared" si="206"/>
        <v>3</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3750</v>
      </c>
      <c r="BY48" s="446">
        <f t="shared" si="206"/>
        <v>21450</v>
      </c>
      <c r="BZ48" s="446">
        <f t="shared" si="206"/>
        <v>14365</v>
      </c>
      <c r="CA48" s="446">
        <f t="shared" si="206"/>
        <v>0</v>
      </c>
      <c r="CB48" s="446">
        <f t="shared" si="206"/>
        <v>0</v>
      </c>
      <c r="CC48" s="446">
        <f t="shared" si="206"/>
        <v>750</v>
      </c>
      <c r="CD48" s="446">
        <f t="shared" si="206"/>
        <v>3900</v>
      </c>
      <c r="CE48" s="446">
        <f t="shared" si="206"/>
        <v>3315</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6</v>
      </c>
      <c r="DC48" s="446">
        <f t="shared" si="208"/>
        <v>26</v>
      </c>
      <c r="DD48" s="446">
        <f t="shared" si="208"/>
        <v>16</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6</v>
      </c>
      <c r="EV48" s="446">
        <f t="shared" si="209"/>
        <v>26</v>
      </c>
      <c r="EW48" s="446">
        <f t="shared" si="209"/>
        <v>16</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6</v>
      </c>
      <c r="GJ48" s="446">
        <f t="shared" si="209"/>
        <v>26</v>
      </c>
      <c r="GK48" s="446">
        <f t="shared" si="209"/>
        <v>16</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318372</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2"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3"/>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5</v>
      </c>
      <c r="J57" s="381">
        <f>V48</f>
        <v>22</v>
      </c>
      <c r="K57" s="381">
        <f>W48</f>
        <v>13</v>
      </c>
      <c r="L57" s="381">
        <f>X48</f>
        <v>0</v>
      </c>
      <c r="M57" s="381">
        <f t="shared" ref="M57:M63" si="211">SUM(H57:L57)</f>
        <v>40</v>
      </c>
      <c r="N57" s="976" t="s">
        <v>1483</v>
      </c>
      <c r="O57" s="977"/>
      <c r="P57" s="739"/>
      <c r="Q57" s="680">
        <f t="shared" ref="Q57:Q63" si="212">ABS(M57-AD57)</f>
        <v>0</v>
      </c>
      <c r="S57" s="207"/>
      <c r="T57" s="447" t="s">
        <v>1778</v>
      </c>
      <c r="U57" s="447"/>
      <c r="V57" s="447"/>
      <c r="W57" s="447"/>
      <c r="X57" s="448" t="s">
        <v>1791</v>
      </c>
      <c r="Y57" s="449">
        <f>T48</f>
        <v>0</v>
      </c>
      <c r="Z57" s="449">
        <f>U48</f>
        <v>5</v>
      </c>
      <c r="AA57" s="449">
        <f>V48</f>
        <v>22</v>
      </c>
      <c r="AB57" s="449">
        <f>W48</f>
        <v>13</v>
      </c>
      <c r="AC57" s="449">
        <f>X48</f>
        <v>0</v>
      </c>
      <c r="AD57" s="449">
        <f t="shared" ref="AD57:AD63" si="213">SUM(Y57:AC57)</f>
        <v>40</v>
      </c>
      <c r="AE57" s="448" t="s">
        <v>1555</v>
      </c>
      <c r="AF57" s="122"/>
      <c r="GU57" s="172"/>
      <c r="HJ57" s="113"/>
    </row>
    <row r="58" spans="1:221" ht="15" customHeight="1">
      <c r="A58" s="963" t="s">
        <v>652</v>
      </c>
      <c r="B58" s="963"/>
      <c r="C58" s="5"/>
      <c r="D58" s="2"/>
      <c r="E58" s="2"/>
      <c r="F58" s="2"/>
      <c r="G58" s="46" t="s">
        <v>133</v>
      </c>
      <c r="H58" s="382">
        <f>Y48</f>
        <v>0</v>
      </c>
      <c r="I58" s="382">
        <f>Z48</f>
        <v>1</v>
      </c>
      <c r="J58" s="382">
        <f>AA48</f>
        <v>4</v>
      </c>
      <c r="K58" s="382">
        <f>AB48</f>
        <v>3</v>
      </c>
      <c r="L58" s="382">
        <f>AC48</f>
        <v>0</v>
      </c>
      <c r="M58" s="382">
        <f t="shared" si="211"/>
        <v>8</v>
      </c>
      <c r="N58" s="976"/>
      <c r="O58" s="977"/>
      <c r="P58" s="739"/>
      <c r="Q58" s="680">
        <f t="shared" si="212"/>
        <v>0</v>
      </c>
      <c r="S58" s="207"/>
      <c r="T58" s="231"/>
      <c r="U58" s="447"/>
      <c r="V58" s="447"/>
      <c r="W58" s="447"/>
      <c r="X58" s="448" t="s">
        <v>133</v>
      </c>
      <c r="Y58" s="449">
        <f>Y48</f>
        <v>0</v>
      </c>
      <c r="Z58" s="449">
        <f>Z48</f>
        <v>1</v>
      </c>
      <c r="AA58" s="449">
        <f>AA48</f>
        <v>4</v>
      </c>
      <c r="AB58" s="449">
        <f>AB48</f>
        <v>3</v>
      </c>
      <c r="AC58" s="449">
        <f>AC48</f>
        <v>0</v>
      </c>
      <c r="AD58" s="449">
        <f t="shared" si="213"/>
        <v>8</v>
      </c>
      <c r="AE58" s="448"/>
      <c r="AF58" s="122"/>
      <c r="GU58" s="172"/>
      <c r="HJ58" s="113"/>
    </row>
    <row r="59" spans="1:221" ht="15" customHeight="1">
      <c r="A59" s="963"/>
      <c r="B59" s="963"/>
      <c r="C59" s="5"/>
      <c r="D59" s="2"/>
      <c r="E59" s="2"/>
      <c r="F59" s="2"/>
      <c r="G59" s="46" t="s">
        <v>832</v>
      </c>
      <c r="H59" s="383">
        <f>SUM(H57:H58)</f>
        <v>0</v>
      </c>
      <c r="I59" s="383">
        <f>SUM(I57:I58)</f>
        <v>6</v>
      </c>
      <c r="J59" s="383">
        <f>SUM(J57:J58)</f>
        <v>26</v>
      </c>
      <c r="K59" s="383">
        <f>SUM(K57:K58)</f>
        <v>16</v>
      </c>
      <c r="L59" s="383">
        <f>SUM(L57:L58)</f>
        <v>0</v>
      </c>
      <c r="M59" s="383">
        <f t="shared" si="211"/>
        <v>48</v>
      </c>
      <c r="N59" s="386"/>
      <c r="O59" s="113"/>
      <c r="Q59" s="680">
        <f t="shared" si="212"/>
        <v>0</v>
      </c>
      <c r="S59" s="207"/>
      <c r="T59" s="231"/>
      <c r="U59" s="447"/>
      <c r="V59" s="447"/>
      <c r="W59" s="447"/>
      <c r="X59" s="448" t="s">
        <v>832</v>
      </c>
      <c r="Y59" s="449">
        <f>SUM(Y57:Y58)</f>
        <v>0</v>
      </c>
      <c r="Z59" s="449">
        <f>SUM(Z57:Z58)</f>
        <v>6</v>
      </c>
      <c r="AA59" s="449">
        <f>SUM(AA57:AA58)</f>
        <v>26</v>
      </c>
      <c r="AB59" s="449">
        <f>SUM(AB57:AB58)</f>
        <v>16</v>
      </c>
      <c r="AC59" s="449">
        <f>SUM(AC57:AC58)</f>
        <v>0</v>
      </c>
      <c r="AD59" s="449">
        <f t="shared" si="213"/>
        <v>48</v>
      </c>
      <c r="AE59" s="448"/>
      <c r="AF59" s="122"/>
      <c r="GU59" s="172"/>
      <c r="HJ59" s="113"/>
    </row>
    <row r="60" spans="1:221" ht="15" customHeight="1">
      <c r="A60" s="963"/>
      <c r="B60" s="96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1779</v>
      </c>
      <c r="D61" s="2"/>
      <c r="E61" s="2"/>
      <c r="F61" s="2"/>
      <c r="G61" s="46"/>
      <c r="H61" s="383">
        <f>SUM(H59:H60)</f>
        <v>0</v>
      </c>
      <c r="I61" s="383">
        <f>SUM(I59:I60)</f>
        <v>6</v>
      </c>
      <c r="J61" s="383">
        <f>SUM(J59:J60)</f>
        <v>26</v>
      </c>
      <c r="K61" s="383">
        <f>SUM(K59:K60)</f>
        <v>16</v>
      </c>
      <c r="L61" s="383">
        <f>SUM(L59:L60)</f>
        <v>0</v>
      </c>
      <c r="M61" s="383">
        <f t="shared" si="211"/>
        <v>48</v>
      </c>
      <c r="N61" s="68"/>
      <c r="O61" s="113"/>
      <c r="Q61" s="680">
        <f t="shared" si="212"/>
        <v>0</v>
      </c>
      <c r="S61" s="207"/>
      <c r="T61" s="447" t="s">
        <v>1779</v>
      </c>
      <c r="U61" s="447"/>
      <c r="V61" s="447"/>
      <c r="W61" s="447"/>
      <c r="X61" s="448"/>
      <c r="Y61" s="449">
        <f>SUM(Y59:Y60)</f>
        <v>0</v>
      </c>
      <c r="Z61" s="449">
        <f>SUM(Z59:Z60)</f>
        <v>6</v>
      </c>
      <c r="AA61" s="449">
        <f>SUM(AA59:AA60)</f>
        <v>26</v>
      </c>
      <c r="AB61" s="449">
        <f>SUM(AB59:AB60)</f>
        <v>16</v>
      </c>
      <c r="AC61" s="449">
        <f>SUM(AC59:AC60)</f>
        <v>0</v>
      </c>
      <c r="AD61" s="449">
        <f t="shared" si="213"/>
        <v>48</v>
      </c>
      <c r="AE61" s="450"/>
      <c r="AF61" s="122"/>
      <c r="GU61" s="172"/>
      <c r="HJ61" s="113"/>
    </row>
    <row r="62" spans="1:221" ht="15" customHeight="1">
      <c r="A62" s="963"/>
      <c r="B62" s="963"/>
      <c r="C62" s="2" t="s">
        <v>3796</v>
      </c>
      <c r="D62" s="2"/>
      <c r="E62" s="2"/>
      <c r="F62" s="2"/>
      <c r="G62" s="46"/>
      <c r="H62" s="383">
        <f>BR48</f>
        <v>0</v>
      </c>
      <c r="I62" s="383">
        <f>BS48</f>
        <v>0</v>
      </c>
      <c r="J62" s="383">
        <f>BT48</f>
        <v>0</v>
      </c>
      <c r="K62" s="383">
        <f>BU48</f>
        <v>0</v>
      </c>
      <c r="L62" s="383">
        <f>BV48</f>
        <v>0</v>
      </c>
      <c r="M62" s="383">
        <f t="shared" si="211"/>
        <v>0</v>
      </c>
      <c r="N62" s="65" t="s">
        <v>3327</v>
      </c>
      <c r="O62" s="113"/>
      <c r="Q62" s="680">
        <f t="shared" si="212"/>
        <v>0</v>
      </c>
      <c r="S62" s="207"/>
      <c r="T62" s="447" t="s">
        <v>3796</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963"/>
      <c r="B63" s="963"/>
      <c r="C63" s="2" t="s">
        <v>832</v>
      </c>
      <c r="D63" s="2"/>
      <c r="E63" s="2"/>
      <c r="F63" s="2"/>
      <c r="G63" s="46"/>
      <c r="H63" s="383">
        <f>SUM(H61:H62)</f>
        <v>0</v>
      </c>
      <c r="I63" s="383">
        <f>SUM(I61:I62)</f>
        <v>6</v>
      </c>
      <c r="J63" s="383">
        <f>SUM(J61:J62)</f>
        <v>26</v>
      </c>
      <c r="K63" s="383">
        <f>SUM(K61:K62)</f>
        <v>16</v>
      </c>
      <c r="L63" s="383">
        <f>SUM(L61:L62)</f>
        <v>0</v>
      </c>
      <c r="M63" s="383">
        <f t="shared" si="211"/>
        <v>48</v>
      </c>
      <c r="O63" s="113"/>
      <c r="Q63" s="680">
        <f t="shared" si="212"/>
        <v>0</v>
      </c>
      <c r="S63" s="207"/>
      <c r="T63" s="447" t="s">
        <v>832</v>
      </c>
      <c r="U63" s="447"/>
      <c r="V63" s="447"/>
      <c r="W63" s="447"/>
      <c r="X63" s="448"/>
      <c r="Y63" s="449">
        <f>SUM(Y61:Y62)</f>
        <v>0</v>
      </c>
      <c r="Z63" s="449">
        <f>SUM(Z61:Z62)</f>
        <v>6</v>
      </c>
      <c r="AA63" s="449">
        <f>SUM(AA61:AA62)</f>
        <v>26</v>
      </c>
      <c r="AB63" s="449">
        <f>SUM(AB61:AB62)</f>
        <v>16</v>
      </c>
      <c r="AC63" s="449">
        <f>SUM(AC61:AC62)</f>
        <v>0</v>
      </c>
      <c r="AD63" s="449">
        <f t="shared" si="213"/>
        <v>48</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3797</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3797</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3434</v>
      </c>
      <c r="F73" s="2"/>
      <c r="G73" s="46" t="s">
        <v>2154</v>
      </c>
      <c r="H73" s="381">
        <f>DA48</f>
        <v>0</v>
      </c>
      <c r="I73" s="381">
        <f>DB48</f>
        <v>6</v>
      </c>
      <c r="J73" s="381">
        <f>DC48</f>
        <v>26</v>
      </c>
      <c r="K73" s="381">
        <f>DD48</f>
        <v>16</v>
      </c>
      <c r="L73" s="381">
        <f>DE48</f>
        <v>0</v>
      </c>
      <c r="M73" s="381">
        <f t="shared" ref="M73:M83" si="214">SUM(H73:L73)</f>
        <v>48</v>
      </c>
      <c r="N73" s="31"/>
      <c r="O73" s="113"/>
      <c r="Q73" s="680">
        <f t="shared" ref="Q73:Q81" si="215">ABS(M73-AD73)</f>
        <v>0</v>
      </c>
      <c r="S73" s="207"/>
      <c r="T73" s="447"/>
      <c r="U73" s="447"/>
      <c r="V73" s="451" t="s">
        <v>3434</v>
      </c>
      <c r="W73" s="447"/>
      <c r="X73" s="448" t="s">
        <v>2154</v>
      </c>
      <c r="Y73" s="449">
        <f>DA48</f>
        <v>0</v>
      </c>
      <c r="Z73" s="449">
        <f>DB48</f>
        <v>6</v>
      </c>
      <c r="AA73" s="449">
        <f>DC48</f>
        <v>26</v>
      </c>
      <c r="AB73" s="449">
        <f>DD48</f>
        <v>16</v>
      </c>
      <c r="AC73" s="449">
        <f>DE48</f>
        <v>0</v>
      </c>
      <c r="AD73" s="449">
        <f t="shared" ref="AD73:AD81" si="216">SUM(Y73:AC73)</f>
        <v>48</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6</v>
      </c>
      <c r="J75" s="383">
        <f>SUM(J73:J74)+DM48</f>
        <v>26</v>
      </c>
      <c r="K75" s="383">
        <f>SUM(K73:K74)+DN48</f>
        <v>16</v>
      </c>
      <c r="L75" s="383">
        <f>SUM(L73:L74)+DO48</f>
        <v>0</v>
      </c>
      <c r="M75" s="383">
        <f t="shared" si="214"/>
        <v>48</v>
      </c>
      <c r="N75" s="65"/>
      <c r="O75" s="113"/>
      <c r="Q75" s="680">
        <f t="shared" si="215"/>
        <v>0</v>
      </c>
      <c r="S75" s="207"/>
      <c r="T75" s="231"/>
      <c r="U75" s="447"/>
      <c r="V75" s="451"/>
      <c r="W75" s="447"/>
      <c r="X75" s="681" t="s">
        <v>34</v>
      </c>
      <c r="Y75" s="449">
        <f>SUM(Y73:Y74)+DK48</f>
        <v>0</v>
      </c>
      <c r="Z75" s="449">
        <f>SUM(Z73:Z74)+DL48</f>
        <v>6</v>
      </c>
      <c r="AA75" s="449">
        <f>SUM(AA73:AA74)+DM48</f>
        <v>26</v>
      </c>
      <c r="AB75" s="449">
        <f>SUM(AB73:AB74)+DN48</f>
        <v>16</v>
      </c>
      <c r="AC75" s="449">
        <f>SUM(AC73:AC74)+DO48</f>
        <v>0</v>
      </c>
      <c r="AD75" s="449">
        <f t="shared" si="216"/>
        <v>48</v>
      </c>
      <c r="AE75" s="448"/>
      <c r="AF75" s="122"/>
      <c r="GU75" s="172"/>
      <c r="HJ75" s="113"/>
    </row>
    <row r="76" spans="1:218" ht="15" customHeight="1">
      <c r="A76" s="963"/>
      <c r="B76" s="963"/>
      <c r="C76" s="2"/>
      <c r="D76" s="2"/>
      <c r="E76" s="140" t="s">
        <v>3236</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3236</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2131</v>
      </c>
      <c r="F79" s="980"/>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3140</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6</v>
      </c>
      <c r="J85" s="381">
        <f>EV48</f>
        <v>26</v>
      </c>
      <c r="K85" s="381">
        <f>EW48</f>
        <v>16</v>
      </c>
      <c r="L85" s="381">
        <f>EX48</f>
        <v>0</v>
      </c>
      <c r="M85" s="381">
        <f>SUM(H85:L85)</f>
        <v>48</v>
      </c>
      <c r="N85" s="31"/>
      <c r="O85" s="113"/>
      <c r="Q85" s="680">
        <f>ABS(M85-AD85)</f>
        <v>0</v>
      </c>
      <c r="S85" s="207"/>
      <c r="T85" s="122"/>
      <c r="U85" s="122"/>
      <c r="V85" s="451" t="s">
        <v>46</v>
      </c>
      <c r="W85" s="122"/>
      <c r="X85" s="448"/>
      <c r="Y85" s="449">
        <f>ET48</f>
        <v>0</v>
      </c>
      <c r="Z85" s="449">
        <f>EU48</f>
        <v>6</v>
      </c>
      <c r="AA85" s="449">
        <f>EV48</f>
        <v>26</v>
      </c>
      <c r="AB85" s="449">
        <f>EW48</f>
        <v>16</v>
      </c>
      <c r="AC85" s="449">
        <f>EX48</f>
        <v>0</v>
      </c>
      <c r="AD85" s="449">
        <f>SUM(Y85:AC85)</f>
        <v>48</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3268</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1791</v>
      </c>
      <c r="H92" s="223">
        <f>BW48</f>
        <v>0</v>
      </c>
      <c r="I92" s="223">
        <f>BX48</f>
        <v>3750</v>
      </c>
      <c r="J92" s="223">
        <f>BY48</f>
        <v>21450</v>
      </c>
      <c r="K92" s="223">
        <f>BZ48</f>
        <v>14365</v>
      </c>
      <c r="L92" s="223">
        <f>CA48</f>
        <v>0</v>
      </c>
      <c r="M92" s="223">
        <f t="shared" ref="M92:M98" si="217">SUM(H92:L92)</f>
        <v>39565</v>
      </c>
      <c r="O92" s="113"/>
      <c r="Q92" s="680">
        <f t="shared" ref="Q92:Q98" si="218">ABS(M92-AD92)</f>
        <v>0</v>
      </c>
      <c r="S92" s="207"/>
      <c r="T92" s="447" t="s">
        <v>3235</v>
      </c>
      <c r="U92" s="447"/>
      <c r="V92" s="447"/>
      <c r="W92" s="447"/>
      <c r="X92" s="448" t="s">
        <v>1791</v>
      </c>
      <c r="Y92" s="449">
        <f>BW48</f>
        <v>0</v>
      </c>
      <c r="Z92" s="449">
        <f>BX48</f>
        <v>3750</v>
      </c>
      <c r="AA92" s="449">
        <f>BY48</f>
        <v>21450</v>
      </c>
      <c r="AB92" s="449">
        <f>BZ48</f>
        <v>14365</v>
      </c>
      <c r="AC92" s="449">
        <f>CA48</f>
        <v>0</v>
      </c>
      <c r="AD92" s="449">
        <f t="shared" ref="AD92:AD98" si="219">SUM(Y92:AC92)</f>
        <v>39565</v>
      </c>
      <c r="AE92" s="207"/>
      <c r="AF92" s="122"/>
      <c r="GU92" s="172"/>
      <c r="HJ92" s="113"/>
    </row>
    <row r="93" spans="1:218" ht="15" customHeight="1">
      <c r="C93" s="5"/>
      <c r="D93" s="2"/>
      <c r="E93" s="2"/>
      <c r="F93" s="2"/>
      <c r="G93" s="46" t="s">
        <v>133</v>
      </c>
      <c r="H93" s="225">
        <f>CB48</f>
        <v>0</v>
      </c>
      <c r="I93" s="225">
        <f>CC48</f>
        <v>750</v>
      </c>
      <c r="J93" s="225">
        <f>CD48</f>
        <v>3900</v>
      </c>
      <c r="K93" s="225">
        <f>CE48</f>
        <v>3315</v>
      </c>
      <c r="L93" s="225">
        <f>CF48</f>
        <v>0</v>
      </c>
      <c r="M93" s="225">
        <f t="shared" si="217"/>
        <v>7965</v>
      </c>
      <c r="N93" s="6"/>
      <c r="O93" s="113"/>
      <c r="Q93" s="680">
        <f t="shared" si="218"/>
        <v>0</v>
      </c>
      <c r="S93" s="207"/>
      <c r="T93" s="231"/>
      <c r="U93" s="447"/>
      <c r="V93" s="447"/>
      <c r="W93" s="447"/>
      <c r="X93" s="448" t="s">
        <v>133</v>
      </c>
      <c r="Y93" s="449">
        <f>CB48</f>
        <v>0</v>
      </c>
      <c r="Z93" s="449">
        <f>CC48</f>
        <v>750</v>
      </c>
      <c r="AA93" s="449">
        <f>CD48</f>
        <v>3900</v>
      </c>
      <c r="AB93" s="449">
        <f>CE48</f>
        <v>3315</v>
      </c>
      <c r="AC93" s="449">
        <f>CF48</f>
        <v>0</v>
      </c>
      <c r="AD93" s="449">
        <f t="shared" si="219"/>
        <v>7965</v>
      </c>
      <c r="AE93" s="447"/>
      <c r="AF93" s="122"/>
      <c r="GU93" s="172"/>
      <c r="HJ93" s="113"/>
    </row>
    <row r="94" spans="1:218" ht="15" customHeight="1">
      <c r="C94" s="5"/>
      <c r="D94" s="2"/>
      <c r="E94" s="2"/>
      <c r="F94" s="2"/>
      <c r="G94" s="46" t="s">
        <v>832</v>
      </c>
      <c r="H94" s="222">
        <f>SUM(H92:H93)</f>
        <v>0</v>
      </c>
      <c r="I94" s="222">
        <f>SUM(I92:I93)</f>
        <v>4500</v>
      </c>
      <c r="J94" s="222">
        <f>SUM(J92:J93)</f>
        <v>25350</v>
      </c>
      <c r="K94" s="222">
        <f>SUM(K92:K93)</f>
        <v>17680</v>
      </c>
      <c r="L94" s="222">
        <f>SUM(L92:L93)</f>
        <v>0</v>
      </c>
      <c r="M94" s="222">
        <f t="shared" si="217"/>
        <v>47530</v>
      </c>
      <c r="N94" s="6"/>
      <c r="O94" s="113"/>
      <c r="Q94" s="680">
        <f t="shared" si="218"/>
        <v>0</v>
      </c>
      <c r="S94" s="207"/>
      <c r="T94" s="231"/>
      <c r="U94" s="447"/>
      <c r="V94" s="447"/>
      <c r="W94" s="447"/>
      <c r="X94" s="448" t="s">
        <v>832</v>
      </c>
      <c r="Y94" s="449">
        <f>SUM(Y92:Y93)</f>
        <v>0</v>
      </c>
      <c r="Z94" s="449">
        <f>SUM(Z92:Z93)</f>
        <v>4500</v>
      </c>
      <c r="AA94" s="449">
        <f>SUM(AA92:AA93)</f>
        <v>25350</v>
      </c>
      <c r="AB94" s="449">
        <f>SUM(AB92:AB93)</f>
        <v>17680</v>
      </c>
      <c r="AC94" s="449">
        <f>SUM(AC92:AC93)</f>
        <v>0</v>
      </c>
      <c r="AD94" s="449">
        <f t="shared" si="219"/>
        <v>47530</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1779</v>
      </c>
      <c r="D96" s="2"/>
      <c r="E96" s="2"/>
      <c r="F96" s="2"/>
      <c r="G96" s="2"/>
      <c r="H96" s="222">
        <f>SUM(H94:H95)</f>
        <v>0</v>
      </c>
      <c r="I96" s="222">
        <f>SUM(I94:I95)</f>
        <v>4500</v>
      </c>
      <c r="J96" s="222">
        <f>SUM(J94:J95)</f>
        <v>25350</v>
      </c>
      <c r="K96" s="222">
        <f>SUM(K94:K95)</f>
        <v>17680</v>
      </c>
      <c r="L96" s="222">
        <f>SUM(L94:L95)</f>
        <v>0</v>
      </c>
      <c r="M96" s="222">
        <f t="shared" si="217"/>
        <v>47530</v>
      </c>
      <c r="O96" s="113"/>
      <c r="Q96" s="680">
        <f t="shared" si="218"/>
        <v>0</v>
      </c>
      <c r="S96" s="207"/>
      <c r="T96" s="447" t="s">
        <v>1779</v>
      </c>
      <c r="U96" s="447"/>
      <c r="V96" s="447"/>
      <c r="W96" s="447"/>
      <c r="X96" s="447"/>
      <c r="Y96" s="449">
        <f>SUM(Y94:Y95)</f>
        <v>0</v>
      </c>
      <c r="Z96" s="449">
        <f>SUM(Z94:Z95)</f>
        <v>4500</v>
      </c>
      <c r="AA96" s="449">
        <f>SUM(AA94:AA95)</f>
        <v>25350</v>
      </c>
      <c r="AB96" s="449">
        <f>SUM(AB94:AB95)</f>
        <v>17680</v>
      </c>
      <c r="AC96" s="449">
        <f>SUM(AC94:AC95)</f>
        <v>0</v>
      </c>
      <c r="AD96" s="449">
        <f t="shared" si="219"/>
        <v>47530</v>
      </c>
      <c r="AE96" s="207"/>
      <c r="AF96" s="122"/>
      <c r="GU96" s="172"/>
      <c r="HJ96" s="113"/>
    </row>
    <row r="97" spans="1:220" ht="15" customHeight="1">
      <c r="C97" s="6" t="s">
        <v>3796</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3796</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4500</v>
      </c>
      <c r="J98" s="222">
        <f>SUM(J96:J97)</f>
        <v>25350</v>
      </c>
      <c r="K98" s="222">
        <f>SUM(K96:K97)</f>
        <v>17680</v>
      </c>
      <c r="L98" s="222">
        <f>SUM(L96:L97)</f>
        <v>0</v>
      </c>
      <c r="M98" s="222">
        <f t="shared" si="217"/>
        <v>47530</v>
      </c>
      <c r="O98" s="113"/>
      <c r="Q98" s="680">
        <f t="shared" si="218"/>
        <v>0</v>
      </c>
      <c r="S98" s="207"/>
      <c r="T98" s="447" t="s">
        <v>832</v>
      </c>
      <c r="U98" s="447"/>
      <c r="V98" s="447"/>
      <c r="W98" s="447"/>
      <c r="X98" s="447"/>
      <c r="Y98" s="449">
        <f>SUM(Y96:Y97)</f>
        <v>0</v>
      </c>
      <c r="Z98" s="449">
        <f>SUM(Z96:Z97)</f>
        <v>4500</v>
      </c>
      <c r="AA98" s="449">
        <f>SUM(AA96:AA97)</f>
        <v>25350</v>
      </c>
      <c r="AB98" s="449">
        <f>SUM(AB96:AB97)</f>
        <v>17680</v>
      </c>
      <c r="AC98" s="449">
        <f>SUM(AC96:AC97)</f>
        <v>0</v>
      </c>
      <c r="AD98" s="449">
        <f t="shared" si="219"/>
        <v>47530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4">
        <f>0.02*L49</f>
        <v>6367.4400000000005</v>
      </c>
      <c r="H102" s="975"/>
      <c r="I102" s="145" t="s">
        <v>3751</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1633</v>
      </c>
      <c r="G107" s="1324"/>
      <c r="H107" s="1324"/>
      <c r="I107" s="1324"/>
      <c r="J107" s="1324"/>
      <c r="K107" s="1325"/>
      <c r="L107" s="1324"/>
      <c r="M107" s="1324"/>
      <c r="N107" s="1324"/>
      <c r="O107" s="1324"/>
      <c r="P107" s="1324"/>
    </row>
    <row r="108" spans="1:220" ht="15" customHeight="1">
      <c r="B108" s="9" t="s">
        <v>1230</v>
      </c>
      <c r="C108" s="1326"/>
      <c r="D108" s="1327"/>
      <c r="E108" s="1327"/>
      <c r="F108" s="1328"/>
      <c r="G108" s="1329"/>
      <c r="H108" s="1329"/>
      <c r="I108" s="1329"/>
      <c r="J108" s="1329"/>
      <c r="K108" s="1330"/>
      <c r="L108" s="1329"/>
      <c r="M108" s="1329"/>
      <c r="N108" s="1329"/>
      <c r="O108" s="1329"/>
      <c r="P108" s="1329"/>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4"/>
      <c r="H113" s="1324"/>
      <c r="I113" s="1324"/>
      <c r="J113" s="1324"/>
      <c r="K113" s="1325"/>
      <c r="L113" s="1324"/>
      <c r="M113" s="1324"/>
      <c r="N113" s="1324"/>
      <c r="O113" s="1324"/>
      <c r="P113" s="1324"/>
    </row>
    <row r="114" spans="2:16" ht="15" customHeight="1">
      <c r="B114" s="9" t="s">
        <v>1230</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4"/>
      <c r="H118" s="1324"/>
      <c r="I118" s="1324"/>
      <c r="J118" s="1324"/>
      <c r="K118" s="1325"/>
      <c r="L118" s="1324"/>
      <c r="M118" s="1324"/>
      <c r="N118" s="1324"/>
      <c r="O118" s="1324"/>
      <c r="P118" s="1324"/>
    </row>
    <row r="119" spans="2:16" ht="15" customHeight="1">
      <c r="B119" s="9" t="s">
        <v>1230</v>
      </c>
      <c r="C119" s="1326"/>
      <c r="D119" s="1327"/>
      <c r="E119" s="1327"/>
      <c r="F119" s="1328"/>
      <c r="G119" s="1329"/>
      <c r="H119" s="1329"/>
      <c r="I119" s="1329"/>
      <c r="J119" s="1329"/>
      <c r="K119" s="1330"/>
      <c r="L119" s="1329"/>
      <c r="M119" s="1329"/>
      <c r="N119" s="1329"/>
      <c r="O119" s="1329"/>
      <c r="P119" s="1329"/>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4"/>
      <c r="H124" s="1324"/>
      <c r="I124" s="1324"/>
      <c r="J124" s="1324"/>
      <c r="K124" s="1325"/>
      <c r="L124" s="1324"/>
      <c r="M124" s="1324"/>
      <c r="N124" s="1324"/>
      <c r="O124" s="1324"/>
      <c r="P124" s="1324"/>
    </row>
    <row r="125" spans="2:16" ht="15" customHeight="1">
      <c r="B125" s="9" t="s">
        <v>1230</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4"/>
      <c r="H129" s="1324"/>
      <c r="I129" s="1324"/>
      <c r="J129" s="1324"/>
      <c r="K129" s="1325"/>
      <c r="L129" s="1324"/>
      <c r="M129" s="1324"/>
      <c r="N129" s="1324"/>
      <c r="O129" s="1324"/>
      <c r="P129" s="1324"/>
    </row>
    <row r="130" spans="1:219" ht="15" customHeight="1">
      <c r="B130" s="9" t="s">
        <v>1230</v>
      </c>
      <c r="C130" s="1326"/>
      <c r="D130" s="1327"/>
      <c r="E130" s="1327"/>
      <c r="F130" s="1328"/>
      <c r="G130" s="1329"/>
      <c r="H130" s="1329"/>
      <c r="I130" s="1329"/>
      <c r="J130" s="1329"/>
      <c r="K130" s="1330"/>
      <c r="L130" s="1329"/>
      <c r="M130" s="1329"/>
      <c r="N130" s="1329"/>
      <c r="O130" s="1329"/>
      <c r="P130" s="1329"/>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4"/>
      <c r="H135" s="1324"/>
      <c r="I135" s="1324"/>
      <c r="J135" s="1324"/>
      <c r="K135" s="1325"/>
      <c r="L135" s="1324"/>
      <c r="M135" s="1324"/>
      <c r="N135" s="1324"/>
      <c r="O135" s="1324"/>
      <c r="P135" s="1324"/>
    </row>
    <row r="136" spans="1:219" ht="15" customHeight="1">
      <c r="B136" s="9" t="s">
        <v>1230</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2822</v>
      </c>
      <c r="B139" s="710" t="s">
        <v>1635</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331">
        <v>30000</v>
      </c>
      <c r="G142" s="1332"/>
      <c r="H142" s="2"/>
      <c r="I142" s="2" t="s">
        <v>2080</v>
      </c>
      <c r="J142" s="2"/>
      <c r="K142" s="1331"/>
      <c r="L142" s="1332"/>
      <c r="M142" s="2"/>
      <c r="N142" s="2" t="s">
        <v>1524</v>
      </c>
      <c r="O142" s="2"/>
      <c r="P142" s="1333">
        <v>26400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1">
        <v>24000</v>
      </c>
      <c r="G143" s="1332"/>
      <c r="H143" s="2"/>
      <c r="I143" s="2" t="s">
        <v>2081</v>
      </c>
      <c r="J143" s="2"/>
      <c r="K143" s="1331"/>
      <c r="L143" s="1332"/>
      <c r="M143" s="2"/>
      <c r="N143" s="2" t="s">
        <v>200</v>
      </c>
      <c r="O143" s="2"/>
      <c r="P143" s="1333">
        <v>10600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1"/>
      <c r="G144" s="1332"/>
      <c r="H144" s="2"/>
      <c r="I144" s="2"/>
      <c r="J144" s="168" t="s">
        <v>249</v>
      </c>
      <c r="K144" s="970">
        <f>SUM(K142:L143)</f>
        <v>0</v>
      </c>
      <c r="L144" s="971"/>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37000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54000</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21141</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1">
        <v>6000</v>
      </c>
      <c r="G149" s="1332"/>
      <c r="H149" s="2"/>
      <c r="I149" s="2" t="s">
        <v>2364</v>
      </c>
      <c r="J149" s="2"/>
      <c r="K149" s="1342">
        <v>1500</v>
      </c>
      <c r="L149" s="1343"/>
      <c r="M149" s="2"/>
      <c r="N149" s="610">
        <f>+P148/(M63*0.93)</f>
        <v>473.58870967741933</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1">
        <v>2500</v>
      </c>
      <c r="G150" s="1332"/>
      <c r="H150" s="2"/>
      <c r="I150" s="2" t="s">
        <v>3139</v>
      </c>
      <c r="J150" s="2"/>
      <c r="K150" s="1344">
        <v>5000</v>
      </c>
      <c r="L150" s="1345"/>
      <c r="M150" s="2"/>
      <c r="N150" s="610">
        <f>+P148/(M63*0.93)/12</f>
        <v>39.465725806451609</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1">
        <v>3000</v>
      </c>
      <c r="G151" s="1332"/>
      <c r="H151" s="2"/>
      <c r="I151" s="2" t="s">
        <v>2365</v>
      </c>
      <c r="J151" s="2"/>
      <c r="K151" s="1344">
        <v>6000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331"/>
      <c r="G152" s="1332"/>
      <c r="H152" s="2"/>
      <c r="I152" s="1334" t="s">
        <v>3979</v>
      </c>
      <c r="J152" s="1335"/>
      <c r="K152" s="1342">
        <v>600</v>
      </c>
      <c r="L152" s="1343"/>
      <c r="M152" s="2"/>
      <c r="N152" s="978" t="s">
        <v>3731</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1"/>
      <c r="G153" s="1332"/>
      <c r="H153" s="2"/>
      <c r="I153" s="11"/>
      <c r="J153" s="13" t="s">
        <v>249</v>
      </c>
      <c r="K153" s="968">
        <f>SUM(K149:K152)</f>
        <v>13100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11500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7"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6">
        <v>1500</v>
      </c>
      <c r="G158" s="1347"/>
      <c r="H158" s="2"/>
      <c r="I158" s="2" t="s">
        <v>2070</v>
      </c>
      <c r="J158" s="662">
        <f>K158/12/$M$63</f>
        <v>10.416666666666666</v>
      </c>
      <c r="K158" s="1344">
        <v>6000</v>
      </c>
      <c r="L158" s="1345"/>
      <c r="M158" s="2"/>
      <c r="N158" s="368">
        <f>+$P$158/$M$63</f>
        <v>4010.4375</v>
      </c>
      <c r="O158" s="30" t="s">
        <v>2110</v>
      </c>
      <c r="P158" s="663">
        <f>F146+F155+F166+K144+K153+K163+P145+P148</f>
        <v>192501</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6">
        <v>2500</v>
      </c>
      <c r="G159" s="1347"/>
      <c r="H159" s="2"/>
      <c r="I159" s="2" t="s">
        <v>2071</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6">
        <v>10000</v>
      </c>
      <c r="G160" s="1347"/>
      <c r="H160" s="2"/>
      <c r="I160" s="2" t="s">
        <v>3552</v>
      </c>
      <c r="J160" s="662">
        <f>K160/12/$M$63</f>
        <v>35</v>
      </c>
      <c r="K160" s="1344">
        <v>20160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1">
        <v>500</v>
      </c>
      <c r="G161" s="1332"/>
      <c r="H161" s="2"/>
      <c r="I161" s="2" t="s">
        <v>2073</v>
      </c>
      <c r="J161" s="2"/>
      <c r="K161" s="1344">
        <v>3500</v>
      </c>
      <c r="L161" s="1345"/>
      <c r="M161" s="2"/>
      <c r="N161" s="11" t="s">
        <v>1922</v>
      </c>
      <c r="O161" s="11"/>
      <c r="P161" s="664">
        <f>P162*M63</f>
        <v>14400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1">
        <v>2000</v>
      </c>
      <c r="G162" s="1332"/>
      <c r="H162" s="2"/>
      <c r="I162" s="1334" t="s">
        <v>60</v>
      </c>
      <c r="J162" s="1335"/>
      <c r="K162" s="1342"/>
      <c r="L162" s="1343"/>
      <c r="M162" s="2"/>
      <c r="N162" s="30" t="s">
        <v>679</v>
      </c>
      <c r="O162" s="2"/>
      <c r="P162" s="1348">
        <v>300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1"/>
      <c r="G163" s="1332"/>
      <c r="H163" s="2"/>
      <c r="I163" s="2"/>
      <c r="J163" s="13" t="s">
        <v>249</v>
      </c>
      <c r="K163" s="968">
        <f>SUM(K158:K162)</f>
        <v>29660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1">
        <v>9600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26100</v>
      </c>
      <c r="G166" s="967"/>
      <c r="H166" s="2"/>
      <c r="I166" s="2"/>
      <c r="J166" s="14"/>
      <c r="K166" s="2"/>
      <c r="L166" s="2"/>
      <c r="M166" s="2"/>
      <c r="N166" s="2"/>
      <c r="O166" s="2"/>
      <c r="P166" s="663">
        <f>P158+P161</f>
        <v>206901</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2824</v>
      </c>
      <c r="B168" s="16" t="s">
        <v>879</v>
      </c>
      <c r="K168" s="16" t="s">
        <v>822</v>
      </c>
      <c r="L168" s="16" t="s">
        <v>2896</v>
      </c>
    </row>
    <row r="169" spans="1:219" ht="51.6" customHeight="1">
      <c r="A169" s="1290" t="s">
        <v>4030</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C12" sqref="C12"/>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2011-030 Water Tower Park Apartments, Gray, Jones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3294</v>
      </c>
      <c r="B5" s="108">
        <v>0.02</v>
      </c>
      <c r="C5" s="19"/>
      <c r="D5" s="19" t="s">
        <v>1365</v>
      </c>
      <c r="F5" s="19"/>
      <c r="G5" s="1280">
        <v>5000</v>
      </c>
      <c r="H5" s="132" t="s">
        <v>2970</v>
      </c>
      <c r="K5" s="138">
        <f>IF(($B$14+$B$15+$B$16+$B$17)=0,"",-B30/($B$14+$B$15+$B$16+$B$17))</f>
        <v>1.6555870411125623E-2</v>
      </c>
    </row>
    <row r="6" spans="1:15">
      <c r="A6" s="19" t="s">
        <v>3295</v>
      </c>
      <c r="B6" s="108">
        <v>0.03</v>
      </c>
      <c r="C6" s="19"/>
      <c r="D6" s="19" t="s">
        <v>1366</v>
      </c>
      <c r="F6" s="19"/>
      <c r="G6" s="1280"/>
      <c r="H6" s="132" t="s">
        <v>3586</v>
      </c>
      <c r="K6" s="138">
        <f>IF(($B$14+$B$15+$B$16+$B$17)=0,"",-B32/($B$14+$B$15+$B$16+$B$17))</f>
        <v>0</v>
      </c>
    </row>
    <row r="7" spans="1:15">
      <c r="A7" s="19" t="s">
        <v>3297</v>
      </c>
      <c r="B7" s="108">
        <v>0.03</v>
      </c>
      <c r="C7" s="19"/>
      <c r="D7" s="110" t="s">
        <v>357</v>
      </c>
      <c r="G7" s="112"/>
      <c r="H7" s="132" t="s">
        <v>3587</v>
      </c>
      <c r="K7" s="138">
        <f>IF(($B$14+$B$15+$B$16+$B$17)=0,"",-B20/($B$14+$B$15+$B$16+$B$17))</f>
        <v>7.0001531272321366E-2</v>
      </c>
    </row>
    <row r="8" spans="1:15" ht="13.15" customHeight="1">
      <c r="A8" s="19" t="s">
        <v>3296</v>
      </c>
      <c r="B8" s="1281">
        <v>7.0000000000000007E-2</v>
      </c>
      <c r="C8" s="19"/>
      <c r="D8" s="109" t="s">
        <v>3788</v>
      </c>
      <c r="G8" s="1282" t="s">
        <v>3919</v>
      </c>
      <c r="H8" s="232" t="s">
        <v>2168</v>
      </c>
      <c r="K8" s="1283"/>
    </row>
    <row r="9" spans="1:15">
      <c r="A9" s="19" t="s">
        <v>2129</v>
      </c>
      <c r="B9" s="108">
        <v>0.02</v>
      </c>
      <c r="D9" s="109" t="s">
        <v>2743</v>
      </c>
      <c r="G9" s="1282" t="s">
        <v>3918</v>
      </c>
      <c r="H9" s="232" t="s">
        <v>3560</v>
      </c>
      <c r="K9" s="1284">
        <v>7.0000000000000007E-2</v>
      </c>
    </row>
    <row r="10" spans="1:15" ht="4.1500000000000004" customHeight="1"/>
    <row r="11" spans="1:15">
      <c r="A11" s="16" t="s">
        <v>101</v>
      </c>
    </row>
    <row r="12" spans="1:15" ht="2.4500000000000002" customHeight="1"/>
    <row r="13" spans="1:15" ht="14.45"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3641</v>
      </c>
      <c r="B14" s="22">
        <f>'Part VI-Revenues &amp; Expenses'!L49</f>
        <v>318372</v>
      </c>
      <c r="C14" s="22">
        <f t="shared" ref="C14:K14" si="1">$B$14*(1+$B$5)^(C13-1)</f>
        <v>324739.44</v>
      </c>
      <c r="D14" s="22">
        <f t="shared" si="1"/>
        <v>331234.22879999998</v>
      </c>
      <c r="E14" s="22">
        <f t="shared" si="1"/>
        <v>337858.91337599995</v>
      </c>
      <c r="F14" s="22">
        <f t="shared" si="1"/>
        <v>344616.09164351999</v>
      </c>
      <c r="G14" s="22">
        <f t="shared" si="1"/>
        <v>351508.41347639041</v>
      </c>
      <c r="H14" s="22">
        <f t="shared" si="1"/>
        <v>358538.58174591826</v>
      </c>
      <c r="I14" s="22">
        <f t="shared" si="1"/>
        <v>365709.35338083649</v>
      </c>
      <c r="J14" s="22">
        <f t="shared" si="1"/>
        <v>373023.54044845328</v>
      </c>
      <c r="K14" s="23">
        <f t="shared" si="1"/>
        <v>380484.01125742233</v>
      </c>
    </row>
    <row r="15" spans="1:15" ht="13.15" customHeight="1">
      <c r="A15" s="24" t="s">
        <v>1632</v>
      </c>
      <c r="B15" s="25">
        <f>MIN(B14*B9,'Part VI-Revenues &amp; Expenses'!G102)</f>
        <v>6367.4400000000005</v>
      </c>
      <c r="C15" s="25">
        <f t="shared" ref="C15:K15" si="2">$B$15*(1+$B$5)^(C13-1)</f>
        <v>6494.7888000000003</v>
      </c>
      <c r="D15" s="25">
        <f t="shared" si="2"/>
        <v>6624.6845760000006</v>
      </c>
      <c r="E15" s="25">
        <f t="shared" si="2"/>
        <v>6757.1782675200002</v>
      </c>
      <c r="F15" s="25">
        <f t="shared" si="2"/>
        <v>6892.3218328704006</v>
      </c>
      <c r="G15" s="25">
        <f t="shared" si="2"/>
        <v>7030.1682695278087</v>
      </c>
      <c r="H15" s="25">
        <f t="shared" si="2"/>
        <v>7170.7716349183647</v>
      </c>
      <c r="I15" s="25">
        <f t="shared" si="2"/>
        <v>7314.1870676167309</v>
      </c>
      <c r="J15" s="25">
        <f t="shared" si="2"/>
        <v>7460.4708089690657</v>
      </c>
      <c r="K15" s="26">
        <f t="shared" si="2"/>
        <v>7609.6802251484478</v>
      </c>
    </row>
    <row r="16" spans="1:15" ht="13.15" customHeight="1">
      <c r="A16" s="24" t="s">
        <v>3642</v>
      </c>
      <c r="B16" s="25">
        <f t="shared" ref="B16:K16" si="3">-(B14+B15)*$B$8</f>
        <v>-22731.760800000004</v>
      </c>
      <c r="C16" s="25">
        <f t="shared" si="3"/>
        <v>-23186.396016000002</v>
      </c>
      <c r="D16" s="25">
        <f t="shared" si="3"/>
        <v>-23650.123936320004</v>
      </c>
      <c r="E16" s="25">
        <f t="shared" si="3"/>
        <v>-24123.126415046398</v>
      </c>
      <c r="F16" s="25">
        <f t="shared" si="3"/>
        <v>-24605.588943347331</v>
      </c>
      <c r="G16" s="25">
        <f t="shared" si="3"/>
        <v>-25097.700722214275</v>
      </c>
      <c r="H16" s="25">
        <f t="shared" si="3"/>
        <v>-25599.654736658566</v>
      </c>
      <c r="I16" s="25">
        <f t="shared" si="3"/>
        <v>-26111.647831391729</v>
      </c>
      <c r="J16" s="25">
        <f t="shared" si="3"/>
        <v>-26633.880788019567</v>
      </c>
      <c r="K16" s="26">
        <f t="shared" si="3"/>
        <v>-27166.558403779956</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-171360</v>
      </c>
      <c r="C19" s="25">
        <f t="shared" ref="C19:K19" si="4">$B$19*(1+$B$6)^(C13-1)</f>
        <v>-176500.80000000002</v>
      </c>
      <c r="D19" s="25">
        <f t="shared" si="4"/>
        <v>-181795.82399999999</v>
      </c>
      <c r="E19" s="25">
        <f t="shared" si="4"/>
        <v>-187249.69872000001</v>
      </c>
      <c r="F19" s="25">
        <f t="shared" si="4"/>
        <v>-192867.18968159999</v>
      </c>
      <c r="G19" s="25">
        <f t="shared" si="4"/>
        <v>-198653.20537204796</v>
      </c>
      <c r="H19" s="25">
        <f t="shared" si="4"/>
        <v>-204612.80153320942</v>
      </c>
      <c r="I19" s="25">
        <f t="shared" si="4"/>
        <v>-210751.18557920572</v>
      </c>
      <c r="J19" s="25">
        <f t="shared" si="4"/>
        <v>-217073.72114658187</v>
      </c>
      <c r="K19" s="26">
        <f t="shared" si="4"/>
        <v>-223585.93278097932</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-21141</v>
      </c>
      <c r="C20" s="25">
        <f>IF(AND('Part VII-Pro Forma'!$G$8="Yes",'Part VII-Pro Forma'!$G$9="Yes"),"Choose One!",IF('Part VII-Pro Forma'!$G$8="Yes",ROUND((-$K$8*(1+'Part VII-Pro Forma'!$B$6)^('Part VII-Pro Forma'!C13-1)),),IF('Part VII-Pro Forma'!$G$9="Yes",ROUND((-(SUM(C14:C17)*'Part VII-Pro Forma'!$K$9)),),"Choose mgt fee")))</f>
        <v>-21563</v>
      </c>
      <c r="D20" s="25">
        <f>IF(AND('Part VII-Pro Forma'!$G$8="Yes",'Part VII-Pro Forma'!$G$9="Yes"),"Choose One!",IF('Part VII-Pro Forma'!$G$8="Yes",ROUND((-$K$8*(1+'Part VII-Pro Forma'!$B$6)^('Part VII-Pro Forma'!D13-1)),),IF('Part VII-Pro Forma'!$G$9="Yes",ROUND((-(SUM(D14:D17)*'Part VII-Pro Forma'!$K$9)),),"Choose mgt fee")))</f>
        <v>-21995</v>
      </c>
      <c r="E20" s="25">
        <f>IF(AND('Part VII-Pro Forma'!$G$8="Yes",'Part VII-Pro Forma'!$G$9="Yes"),"Choose One!",IF('Part VII-Pro Forma'!$G$8="Yes",ROUND((-$K$8*(1+'Part VII-Pro Forma'!$B$6)^('Part VII-Pro Forma'!E13-1)),),IF('Part VII-Pro Forma'!$G$9="Yes",ROUND((-(SUM(E14:E17)*'Part VII-Pro Forma'!$K$9)),),"Choose mgt fee")))</f>
        <v>-22435</v>
      </c>
      <c r="F20" s="25">
        <f>IF(AND('Part VII-Pro Forma'!$G$8="Yes",'Part VII-Pro Forma'!$G$9="Yes"),"Choose One!",IF('Part VII-Pro Forma'!$G$8="Yes",ROUND((-$K$8*(1+'Part VII-Pro Forma'!$B$6)^('Part VII-Pro Forma'!F13-1)),),IF('Part VII-Pro Forma'!$G$9="Yes",ROUND((-(SUM(F14:F17)*'Part VII-Pro Forma'!$K$9)),),"Choose mgt fee")))</f>
        <v>-22883</v>
      </c>
      <c r="G20" s="25">
        <f>IF(AND('Part VII-Pro Forma'!$G$8="Yes",'Part VII-Pro Forma'!$G$9="Yes"),"Choose One!",IF('Part VII-Pro Forma'!$G$8="Yes",ROUND((-$K$8*(1+'Part VII-Pro Forma'!$B$6)^('Part VII-Pro Forma'!G13-1)),),IF('Part VII-Pro Forma'!$G$9="Yes",ROUND((-(SUM(G14:G17)*'Part VII-Pro Forma'!$K$9)),),"Choose mgt fee")))</f>
        <v>-23341</v>
      </c>
      <c r="H20" s="25">
        <f>IF(AND('Part VII-Pro Forma'!$G$8="Yes",'Part VII-Pro Forma'!$G$9="Yes"),"Choose One!",IF('Part VII-Pro Forma'!$G$8="Yes",ROUND((-$K$8*(1+'Part VII-Pro Forma'!$B$6)^('Part VII-Pro Forma'!H13-1)),),IF('Part VII-Pro Forma'!$G$9="Yes",ROUND((-(SUM(H14:H17)*'Part VII-Pro Forma'!$K$9)),),"Choose mgt fee")))</f>
        <v>-23808</v>
      </c>
      <c r="I20" s="25">
        <f>IF(AND('Part VII-Pro Forma'!$G$8="Yes",'Part VII-Pro Forma'!$G$9="Yes"),"Choose One!",IF('Part VII-Pro Forma'!$G$8="Yes",ROUND((-$K$8*(1+'Part VII-Pro Forma'!$B$6)^('Part VII-Pro Forma'!I13-1)),),IF('Part VII-Pro Forma'!$G$9="Yes",ROUND((-(SUM(I14:I17)*'Part VII-Pro Forma'!$K$9)),),"Choose mgt fee")))</f>
        <v>-24284</v>
      </c>
      <c r="J20" s="25">
        <f>IF(AND('Part VII-Pro Forma'!$G$8="Yes",'Part VII-Pro Forma'!$G$9="Yes"),"Choose One!",IF('Part VII-Pro Forma'!$G$8="Yes",ROUND((-$K$8*(1+'Part VII-Pro Forma'!$B$6)^('Part VII-Pro Forma'!J13-1)),),IF('Part VII-Pro Forma'!$G$9="Yes",ROUND((-(SUM(J14:J17)*'Part VII-Pro Forma'!$K$9)),),"Choose mgt fee")))</f>
        <v>-24770</v>
      </c>
      <c r="K20" s="25">
        <f>IF(AND('Part VII-Pro Forma'!$G$8="Yes",'Part VII-Pro Forma'!$G$9="Yes"),"Choose One!",IF('Part VII-Pro Forma'!$G$8="Yes",ROUND((-$K$8*(1+'Part VII-Pro Forma'!$B$6)^('Part VII-Pro Forma'!K13-1)),),IF('Part VII-Pro Forma'!$G$9="Yes",ROUND((-(SUM(K14:K17)*'Part VII-Pro Forma'!$K$9)),),"Choose mgt fee")))</f>
        <v>-25265</v>
      </c>
    </row>
    <row r="21" spans="1:11" ht="13.15" customHeight="1">
      <c r="A21" s="24" t="s">
        <v>1862</v>
      </c>
      <c r="B21" s="25">
        <f>-('Part VI-Revenues &amp; Expenses'!P161)</f>
        <v>-14400</v>
      </c>
      <c r="C21" s="25">
        <f t="shared" ref="C21:K21" si="5">$B$21*(1+$B$7)^(C13-1)</f>
        <v>-14832</v>
      </c>
      <c r="D21" s="25">
        <f t="shared" si="5"/>
        <v>-15276.96</v>
      </c>
      <c r="E21" s="25">
        <f t="shared" si="5"/>
        <v>-15735.2688</v>
      </c>
      <c r="F21" s="25">
        <f t="shared" si="5"/>
        <v>-16207.326863999999</v>
      </c>
      <c r="G21" s="25">
        <f t="shared" si="5"/>
        <v>-16693.546669919997</v>
      </c>
      <c r="H21" s="25">
        <f t="shared" si="5"/>
        <v>-17194.353070017598</v>
      </c>
      <c r="I21" s="25">
        <f t="shared" si="5"/>
        <v>-17710.183662118128</v>
      </c>
      <c r="J21" s="25">
        <f t="shared" si="5"/>
        <v>-18241.48917198167</v>
      </c>
      <c r="K21" s="26">
        <f t="shared" si="5"/>
        <v>-18788.73384714112</v>
      </c>
    </row>
    <row r="22" spans="1:11" ht="13.15" customHeight="1">
      <c r="A22" s="24" t="s">
        <v>1863</v>
      </c>
      <c r="B22" s="25">
        <f t="shared" ref="B22:K22" si="6">SUM(B14:B21)</f>
        <v>95106.679200000013</v>
      </c>
      <c r="C22" s="25">
        <f t="shared" si="6"/>
        <v>95152.032783999952</v>
      </c>
      <c r="D22" s="25">
        <f t="shared" si="6"/>
        <v>95141.005439680011</v>
      </c>
      <c r="E22" s="25">
        <f t="shared" si="6"/>
        <v>95072.997708473515</v>
      </c>
      <c r="F22" s="25">
        <f t="shared" si="6"/>
        <v>94945.307987443084</v>
      </c>
      <c r="G22" s="25">
        <f t="shared" si="6"/>
        <v>94753.128981735936</v>
      </c>
      <c r="H22" s="25">
        <f t="shared" si="6"/>
        <v>94494.544040951034</v>
      </c>
      <c r="I22" s="25">
        <f t="shared" si="6"/>
        <v>94166.523375737655</v>
      </c>
      <c r="J22" s="25">
        <f t="shared" si="6"/>
        <v>93764.920150839229</v>
      </c>
      <c r="K22" s="26">
        <f t="shared" si="6"/>
        <v>93287.466450670414</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-64477.102100313889</v>
      </c>
      <c r="C25" s="1285">
        <f>IF('Part III A-Sources of Funds'!$M$33="", 0,-'Part III A-Sources of Funds'!$M$33)</f>
        <v>-64477.102100313889</v>
      </c>
      <c r="D25" s="1285">
        <f>IF('Part III A-Sources of Funds'!$M$33="", 0,-'Part III A-Sources of Funds'!$M$33)</f>
        <v>-64477.102100313889</v>
      </c>
      <c r="E25" s="1285">
        <f>IF('Part III A-Sources of Funds'!$M$33="", 0,-'Part III A-Sources of Funds'!$M$33)</f>
        <v>-64477.102100313889</v>
      </c>
      <c r="F25" s="1285">
        <f>IF('Part III A-Sources of Funds'!$M$33="", 0,-'Part III A-Sources of Funds'!$M$33)</f>
        <v>-64477.102100313889</v>
      </c>
      <c r="G25" s="1285">
        <f>IF('Part III A-Sources of Funds'!$M$33="", 0,-'Part III A-Sources of Funds'!$M$33)</f>
        <v>-64477.102100313889</v>
      </c>
      <c r="H25" s="1285">
        <f>IF('Part III A-Sources of Funds'!$M$33="", 0,-'Part III A-Sources of Funds'!$M$33)</f>
        <v>-64477.102100313889</v>
      </c>
      <c r="I25" s="1285">
        <f>IF('Part III A-Sources of Funds'!$M$33="", 0,-'Part III A-Sources of Funds'!$M$33)</f>
        <v>-64477.102100313889</v>
      </c>
      <c r="J25" s="1285">
        <f>IF('Part III A-Sources of Funds'!$M$33="", 0,-'Part III A-Sources of Funds'!$M$33)</f>
        <v>-64477.102100313889</v>
      </c>
      <c r="K25" s="1285">
        <f>IF('Part III A-Sources of Funds'!$M$33="", 0,-'Part III A-Sources of Funds'!$M$33)</f>
        <v>-64477.102100313889</v>
      </c>
    </row>
    <row r="26" spans="1:11" ht="13.1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1362</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807</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1336</v>
      </c>
      <c r="B29" s="1286"/>
      <c r="C29" s="1286"/>
      <c r="D29" s="1286"/>
      <c r="E29" s="1286"/>
      <c r="F29" s="1286"/>
      <c r="G29" s="1286"/>
      <c r="H29" s="1286"/>
      <c r="I29" s="1286"/>
      <c r="J29" s="1286"/>
      <c r="K29" s="1286"/>
    </row>
    <row r="30" spans="1:11" ht="13.15" customHeight="1">
      <c r="A30" s="24" t="s">
        <v>1807</v>
      </c>
      <c r="B30" s="1285">
        <v>-5000</v>
      </c>
      <c r="C30" s="1285">
        <v>-5150</v>
      </c>
      <c r="D30" s="1285">
        <v>-5305</v>
      </c>
      <c r="E30" s="1285">
        <v>-5464</v>
      </c>
      <c r="F30" s="1285">
        <v>-5628</v>
      </c>
      <c r="G30" s="1285">
        <v>-5796</v>
      </c>
      <c r="H30" s="1285">
        <v>-5970</v>
      </c>
      <c r="I30" s="1285">
        <v>-6149</v>
      </c>
      <c r="J30" s="1285">
        <v>-6334</v>
      </c>
      <c r="K30" s="1285">
        <v>-6524</v>
      </c>
    </row>
    <row r="31" spans="1:11" ht="13.15" customHeight="1">
      <c r="A31" s="24" t="s">
        <v>1864</v>
      </c>
      <c r="B31" s="1285">
        <v>-8871</v>
      </c>
      <c r="C31" s="1285">
        <v>-8871</v>
      </c>
      <c r="D31" s="1285">
        <v>-8871</v>
      </c>
      <c r="E31" s="1285">
        <v>-8871</v>
      </c>
      <c r="F31" s="1285">
        <v>-8871</v>
      </c>
      <c r="G31" s="1285">
        <v>-8871</v>
      </c>
      <c r="H31" s="1285">
        <v>-8871</v>
      </c>
      <c r="I31" s="1285">
        <v>-8871</v>
      </c>
      <c r="J31" s="1285">
        <v>-8871</v>
      </c>
      <c r="K31" s="1285">
        <v>-8871</v>
      </c>
    </row>
    <row r="32" spans="1:11" ht="13.15" customHeight="1">
      <c r="A32" s="24" t="s">
        <v>1808</v>
      </c>
      <c r="B32" s="1287">
        <f>-$G$6</f>
        <v>0</v>
      </c>
      <c r="C32" s="1287">
        <f t="shared" ref="C32:K32" si="7">+B32</f>
        <v>0</v>
      </c>
      <c r="D32" s="1287">
        <f t="shared" si="7"/>
        <v>0</v>
      </c>
      <c r="E32" s="1287">
        <f t="shared" si="7"/>
        <v>0</v>
      </c>
      <c r="F32" s="1287">
        <f t="shared" si="7"/>
        <v>0</v>
      </c>
      <c r="G32" s="1287">
        <f t="shared" si="7"/>
        <v>0</v>
      </c>
      <c r="H32" s="1287">
        <f t="shared" si="7"/>
        <v>0</v>
      </c>
      <c r="I32" s="1287">
        <f t="shared" si="7"/>
        <v>0</v>
      </c>
      <c r="J32" s="1287">
        <f t="shared" si="7"/>
        <v>0</v>
      </c>
      <c r="K32" s="1287">
        <f t="shared" si="7"/>
        <v>0</v>
      </c>
    </row>
    <row r="33" spans="1:11" ht="13.15" customHeight="1">
      <c r="A33" s="24" t="s">
        <v>1809</v>
      </c>
      <c r="B33" s="25">
        <f t="shared" ref="B33:K33" si="8">SUM(B22:B32)</f>
        <v>16758.577099686125</v>
      </c>
      <c r="C33" s="25">
        <f t="shared" si="8"/>
        <v>16653.930683686063</v>
      </c>
      <c r="D33" s="25">
        <f t="shared" si="8"/>
        <v>16487.903339366123</v>
      </c>
      <c r="E33" s="25">
        <f t="shared" si="8"/>
        <v>16260.895608159626</v>
      </c>
      <c r="F33" s="25">
        <f t="shared" si="8"/>
        <v>15969.205887129196</v>
      </c>
      <c r="G33" s="25">
        <f t="shared" si="8"/>
        <v>15609.026881422047</v>
      </c>
      <c r="H33" s="25">
        <f t="shared" si="8"/>
        <v>15176.441940637145</v>
      </c>
      <c r="I33" s="25">
        <f t="shared" si="8"/>
        <v>14669.421275423767</v>
      </c>
      <c r="J33" s="25">
        <f t="shared" si="8"/>
        <v>14082.81805052534</v>
      </c>
      <c r="K33" s="23">
        <f t="shared" si="8"/>
        <v>13415.364350356525</v>
      </c>
    </row>
    <row r="34" spans="1:11" ht="13.15" customHeight="1">
      <c r="A34" s="24" t="str">
        <f>IF('Part III A-Sources of Funds'!$E$32 = "Neither", "", "DCR First Mortgage")</f>
        <v/>
      </c>
      <c r="B34" s="27" t="str">
        <f>IF(B23=0,"",-B22/B23)</f>
        <v/>
      </c>
      <c r="C34" s="27" t="str">
        <f t="shared" ref="C34:K34" si="9">IF(C23=0,"",-C22/C23)</f>
        <v/>
      </c>
      <c r="D34" s="27" t="str">
        <f t="shared" si="9"/>
        <v/>
      </c>
      <c r="E34" s="27" t="str">
        <f t="shared" si="9"/>
        <v/>
      </c>
      <c r="F34" s="27" t="str">
        <f t="shared" si="9"/>
        <v/>
      </c>
      <c r="G34" s="27" t="str">
        <f t="shared" si="9"/>
        <v/>
      </c>
      <c r="H34" s="27" t="str">
        <f t="shared" si="9"/>
        <v/>
      </c>
      <c r="I34" s="27" t="str">
        <f t="shared" si="9"/>
        <v/>
      </c>
      <c r="J34" s="27" t="str">
        <f t="shared" si="9"/>
        <v/>
      </c>
      <c r="K34" s="28" t="str">
        <f t="shared" si="9"/>
        <v/>
      </c>
    </row>
    <row r="35" spans="1:11" ht="13.15" customHeight="1">
      <c r="A35" s="24" t="str">
        <f>IF('Part III A-Sources of Funds'!$E$32 = "Neither", "", "DCR USDA/HUD Fee")</f>
        <v/>
      </c>
      <c r="B35" s="27" t="str">
        <f>IF(OR(B24=0,AND(B24=0,B23=0)),"",-B22/(B23+B24))</f>
        <v/>
      </c>
      <c r="C35" s="27" t="str">
        <f t="shared" ref="C35:K35" si="10">IF(OR(C24=0,AND(C24=0,C23=0)),"",-C22/(C23+C24))</f>
        <v/>
      </c>
      <c r="D35" s="27" t="str">
        <f t="shared" si="10"/>
        <v/>
      </c>
      <c r="E35" s="27" t="str">
        <f t="shared" si="10"/>
        <v/>
      </c>
      <c r="F35" s="27" t="str">
        <f t="shared" si="10"/>
        <v/>
      </c>
      <c r="G35" s="27" t="str">
        <f t="shared" si="10"/>
        <v/>
      </c>
      <c r="H35" s="27" t="str">
        <f t="shared" si="10"/>
        <v/>
      </c>
      <c r="I35" s="27" t="str">
        <f t="shared" si="10"/>
        <v/>
      </c>
      <c r="J35" s="27" t="str">
        <f t="shared" si="10"/>
        <v/>
      </c>
      <c r="K35" s="28" t="str">
        <f t="shared" si="10"/>
        <v/>
      </c>
    </row>
    <row r="36" spans="1:11" ht="13.15" customHeight="1">
      <c r="A36" s="24" t="str">
        <f>IF('Part III A-Sources of Funds'!$E$32 = "Neither", "DCR First Mortgage", "DCR Second Mortgage")</f>
        <v>DCR First Mortgage</v>
      </c>
      <c r="B36" s="27">
        <f>IF(OR(B25=0,AND(B25=0,B24=0,B23=0)),"",-B22/(B23+B24+B25))</f>
        <v>1.47504580854196</v>
      </c>
      <c r="C36" s="27">
        <f t="shared" ref="C36:K36" si="11">IF(OR(C25=0,AND(C25=0,C24=0,C23=0)),"",-C22/(C23+C24+C25))</f>
        <v>1.4757492145965525</v>
      </c>
      <c r="D36" s="27">
        <f t="shared" si="11"/>
        <v>1.4755781873021996</v>
      </c>
      <c r="E36" s="27">
        <f t="shared" si="11"/>
        <v>1.4745234294270597</v>
      </c>
      <c r="F36" s="27">
        <f t="shared" si="11"/>
        <v>1.4725430407794471</v>
      </c>
      <c r="G36" s="27">
        <f t="shared" si="11"/>
        <v>1.4695624631876043</v>
      </c>
      <c r="H36" s="27">
        <f t="shared" si="11"/>
        <v>1.4655519705885016</v>
      </c>
      <c r="I36" s="27">
        <f t="shared" si="11"/>
        <v>1.4604645728220349</v>
      </c>
      <c r="J36" s="27">
        <f t="shared" si="11"/>
        <v>1.4542359550365518</v>
      </c>
      <c r="K36" s="28">
        <f t="shared" si="11"/>
        <v>1.4468309432631321</v>
      </c>
    </row>
    <row r="37" spans="1:11" ht="13.15" customHeight="1">
      <c r="A37" s="24" t="str">
        <f>IF('Part III A-Sources of Funds'!$E$32 = "Neither", "DCR Second Mortgage", "DCR Third Mortgage")</f>
        <v>DCR Second Mortgage</v>
      </c>
      <c r="B37" s="27" t="str">
        <f>IF(OR(B26=0,AND(B23=0,B24=0,B25=0,B26=0)),"",-B22/(B23+B24+B25+B26))</f>
        <v/>
      </c>
      <c r="C37" s="27" t="str">
        <f t="shared" ref="C37:K37" si="12">IF(OR(C26=0,AND(C23=0,C24=0,C25=0,C26=0)),"",-C22/(C23+C24+C25+C26))</f>
        <v/>
      </c>
      <c r="D37" s="27" t="str">
        <f t="shared" si="12"/>
        <v/>
      </c>
      <c r="E37" s="27" t="str">
        <f t="shared" si="12"/>
        <v/>
      </c>
      <c r="F37" s="27" t="str">
        <f t="shared" si="12"/>
        <v/>
      </c>
      <c r="G37" s="27" t="str">
        <f t="shared" si="12"/>
        <v/>
      </c>
      <c r="H37" s="27" t="str">
        <f t="shared" si="12"/>
        <v/>
      </c>
      <c r="I37" s="27" t="str">
        <f t="shared" si="12"/>
        <v/>
      </c>
      <c r="J37" s="27" t="str">
        <f t="shared" si="12"/>
        <v/>
      </c>
      <c r="K37" s="28" t="str">
        <f t="shared" si="12"/>
        <v/>
      </c>
    </row>
    <row r="38" spans="1:11" ht="13.15" customHeight="1">
      <c r="A38" s="24" t="s">
        <v>1363</v>
      </c>
      <c r="B38" s="27" t="str">
        <f>IF(OR(B27=0,AND(B23=0,B24=0,B25=0,B26=0,B27=0)),"",-B22/(B23+B24+B25+B26+B27))</f>
        <v/>
      </c>
      <c r="C38" s="27" t="str">
        <f t="shared" ref="C38:K38" si="13">IF(OR(C27=0,AND(C23=0,C24=0,C25=0,C26=0,C27=0)),"",-C22/(C23+C24+C25+C26+C27))</f>
        <v/>
      </c>
      <c r="D38" s="27" t="str">
        <f t="shared" si="13"/>
        <v/>
      </c>
      <c r="E38" s="27" t="str">
        <f t="shared" si="13"/>
        <v/>
      </c>
      <c r="F38" s="27" t="str">
        <f t="shared" si="13"/>
        <v/>
      </c>
      <c r="G38" s="27" t="str">
        <f t="shared" si="13"/>
        <v/>
      </c>
      <c r="H38" s="27" t="str">
        <f t="shared" si="13"/>
        <v/>
      </c>
      <c r="I38" s="27" t="str">
        <f t="shared" si="13"/>
        <v/>
      </c>
      <c r="J38" s="27" t="str">
        <f t="shared" si="13"/>
        <v/>
      </c>
      <c r="K38" s="28" t="str">
        <f t="shared" si="13"/>
        <v/>
      </c>
    </row>
    <row r="39" spans="1:11" ht="13.15" customHeight="1">
      <c r="A39" s="24" t="s">
        <v>1363</v>
      </c>
      <c r="B39" s="27" t="str">
        <f>IF(OR(B28=0,AND(B23=0,B24=0,B25=0,B26=0,B27=0,B28=0)),"",-B22/(B23+B24+B25+B26+B27+B28))</f>
        <v/>
      </c>
      <c r="C39" s="27" t="str">
        <f t="shared" ref="C39:K39" si="14">IF(OR(C28=0,AND(C23=0,C24=0,C25=0,C26=0,C27=0,C28=0)),"",-C22/(C23+C24+C25+C26+C27+C28))</f>
        <v/>
      </c>
      <c r="D39" s="27" t="str">
        <f t="shared" si="14"/>
        <v/>
      </c>
      <c r="E39" s="27" t="str">
        <f t="shared" si="14"/>
        <v/>
      </c>
      <c r="F39" s="27" t="str">
        <f t="shared" si="14"/>
        <v/>
      </c>
      <c r="G39" s="27" t="str">
        <f t="shared" si="14"/>
        <v/>
      </c>
      <c r="H39" s="27" t="str">
        <f t="shared" si="14"/>
        <v/>
      </c>
      <c r="I39" s="27" t="str">
        <f t="shared" si="14"/>
        <v/>
      </c>
      <c r="J39" s="27" t="str">
        <f t="shared" si="14"/>
        <v/>
      </c>
      <c r="K39" s="28" t="str">
        <f t="shared" si="14"/>
        <v/>
      </c>
    </row>
    <row r="40" spans="1:11" ht="13.15" customHeight="1">
      <c r="A40" s="24" t="s">
        <v>1345</v>
      </c>
      <c r="B40" s="379">
        <f>IF(OR(B20="Choose mgt fee",B20="Choose One!"),"",(B14+B15+B16+B17+B18) / -(B19+B20+B21))</f>
        <v>1.4596723998434034</v>
      </c>
      <c r="C40" s="379">
        <f t="shared" ref="C40:K40" si="15">IF(OR(C20="Choose mgt fee",C20="Choose One!"),"",(C14+C15+C16+C17+C18) / -(C19+C20+C21))</f>
        <v>1.4469418033798691</v>
      </c>
      <c r="D40" s="379">
        <f t="shared" si="15"/>
        <v>1.4342993921903187</v>
      </c>
      <c r="E40" s="379">
        <f t="shared" si="15"/>
        <v>1.4217594330903198</v>
      </c>
      <c r="F40" s="379">
        <f t="shared" si="15"/>
        <v>1.409321971546363</v>
      </c>
      <c r="G40" s="379">
        <f t="shared" si="15"/>
        <v>1.3969752455713593</v>
      </c>
      <c r="H40" s="379">
        <f t="shared" si="15"/>
        <v>1.3847260328606348</v>
      </c>
      <c r="I40" s="379">
        <f t="shared" si="15"/>
        <v>1.3725746733101429</v>
      </c>
      <c r="J40" s="379">
        <f t="shared" si="15"/>
        <v>1.3605161555937453</v>
      </c>
      <c r="K40" s="380">
        <f t="shared" si="15"/>
        <v>1.3485562047881763</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743417.33726664598</v>
      </c>
      <c r="C42" s="1285">
        <f>IF('Part III A-Sources of Funds'!$H$33="","",-FV('Part III A-Sources of Funds'!$J$33/12,12,C25/12,B42))</f>
        <v>736306.0011558492</v>
      </c>
      <c r="D42" s="1285">
        <f>IF('Part III A-Sources of Funds'!$H$33="","",-FV('Part III A-Sources of Funds'!$J$33/12,12,D25/12,C42))</f>
        <v>728623.53232382459</v>
      </c>
      <c r="E42" s="1285">
        <f>IF('Part III A-Sources of Funds'!$H$33="","",-FV('Part III A-Sources of Funds'!$J$33/12,12,E25/12,D42))</f>
        <v>720324.06138960412</v>
      </c>
      <c r="F42" s="1285">
        <f>IF('Part III A-Sources of Funds'!$H$33="","",-FV('Part III A-Sources of Funds'!$J$33/12,12,F25/12,E42))</f>
        <v>711358.03506472846</v>
      </c>
      <c r="G42" s="1285">
        <f>IF('Part III A-Sources of Funds'!$H$33="","",-FV('Part III A-Sources of Funds'!$J$33/12,12,G25/12,F42))</f>
        <v>701671.92028759245</v>
      </c>
      <c r="H42" s="1285">
        <f>IF('Part III A-Sources of Funds'!$H$33="","",-FV('Part III A-Sources of Funds'!$J$33/12,12,H25/12,G42))</f>
        <v>691207.88459593349</v>
      </c>
      <c r="I42" s="1285">
        <f>IF('Part III A-Sources of Funds'!$H$33="","",-FV('Part III A-Sources of Funds'!$J$33/12,12,I25/12,H42))</f>
        <v>679903.45082907612</v>
      </c>
      <c r="J42" s="1285">
        <f>IF('Part III A-Sources of Funds'!$H$33="","",-FV('Part III A-Sources of Funds'!$J$33/12,12,J25/12,I42))</f>
        <v>667691.1240982787</v>
      </c>
      <c r="K42" s="1285">
        <f>IF('Part III A-Sources of Funds'!$H$33="","",-FV('Part III A-Sources of Funds'!$J$33/12,12,K25/12,J42))</f>
        <v>654497.98879795033</v>
      </c>
    </row>
    <row r="43" spans="1:11" ht="13.1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1364</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1364</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1899</v>
      </c>
      <c r="B46" s="1287">
        <f>IF('Part III A-Sources of Funds'!$H$37="","",-FV('Part III A-Sources of Funds'!$J$37/12,12,B31/12,'Part III A-Sources of Funds'!H37))</f>
        <v>124190</v>
      </c>
      <c r="C46" s="1287">
        <f>IF('Part III A-Sources of Funds'!$H$37="","",-FV('Part III A-Sources of Funds'!$J$37/12,12,C31/12,B46))</f>
        <v>115319</v>
      </c>
      <c r="D46" s="1287">
        <f>IF('Part III A-Sources of Funds'!$H$37="","",-FV('Part III A-Sources of Funds'!$J$37/12,12,D31/12,C46))</f>
        <v>106448</v>
      </c>
      <c r="E46" s="1287">
        <f>IF('Part III A-Sources of Funds'!$H$37="","",-FV('Part III A-Sources of Funds'!$J$37/12,12,E31/12,D46))</f>
        <v>97577</v>
      </c>
      <c r="F46" s="1287">
        <f>IF('Part III A-Sources of Funds'!$H$37="","",-FV('Part III A-Sources of Funds'!$J$37/12,12,F31/12,E46))</f>
        <v>88706</v>
      </c>
      <c r="G46" s="1287">
        <f>IF('Part III A-Sources of Funds'!$H$37="","",-FV('Part III A-Sources of Funds'!$J$37/12,12,G31/12,F46))</f>
        <v>79835</v>
      </c>
      <c r="H46" s="1287">
        <f>IF('Part III A-Sources of Funds'!$H$37="","",-FV('Part III A-Sources of Funds'!$J$37/12,12,H31/12,G46))</f>
        <v>70964</v>
      </c>
      <c r="I46" s="1287">
        <f>IF('Part III A-Sources of Funds'!$H$37="","",-FV('Part III A-Sources of Funds'!$J$37/12,12,I31/12,H46))</f>
        <v>62093</v>
      </c>
      <c r="J46" s="1287">
        <f>IF('Part III A-Sources of Funds'!$H$37="","",-FV('Part III A-Sources of Funds'!$J$37/12,12,J31/12,I46))</f>
        <v>53222</v>
      </c>
      <c r="K46" s="1287">
        <f>IF('Part III A-Sources of Funds'!$H$37="","",-FV('Part III A-Sources of Funds'!$J$37/12,12,K31/12,J46))</f>
        <v>44351</v>
      </c>
    </row>
    <row r="47" spans="1:11" ht="4.1500000000000004" customHeight="1">
      <c r="B47" s="20"/>
      <c r="C47" s="20"/>
      <c r="D47" s="20"/>
      <c r="E47" s="20"/>
      <c r="F47" s="20"/>
      <c r="G47" s="20"/>
      <c r="H47" s="20"/>
      <c r="I47" s="20"/>
      <c r="J47" s="20"/>
      <c r="K47" s="20"/>
    </row>
    <row r="48" spans="1:11" ht="14.45" customHeight="1">
      <c r="A48" s="16" t="s">
        <v>3752</v>
      </c>
      <c r="B48" s="18">
        <f>K13+1</f>
        <v>11</v>
      </c>
      <c r="C48" s="18">
        <f t="shared" ref="C48:K48" si="16">B48+1</f>
        <v>12</v>
      </c>
      <c r="D48" s="18">
        <f t="shared" si="16"/>
        <v>13</v>
      </c>
      <c r="E48" s="18">
        <f t="shared" si="16"/>
        <v>14</v>
      </c>
      <c r="F48" s="18">
        <f t="shared" si="16"/>
        <v>15</v>
      </c>
      <c r="G48" s="18">
        <f t="shared" si="16"/>
        <v>16</v>
      </c>
      <c r="H48" s="18">
        <f t="shared" si="16"/>
        <v>17</v>
      </c>
      <c r="I48" s="18">
        <f t="shared" si="16"/>
        <v>18</v>
      </c>
      <c r="J48" s="18">
        <f t="shared" si="16"/>
        <v>19</v>
      </c>
      <c r="K48" s="18">
        <f t="shared" si="16"/>
        <v>20</v>
      </c>
    </row>
    <row r="49" spans="1:11" ht="13.15" customHeight="1">
      <c r="A49" s="21" t="s">
        <v>3641</v>
      </c>
      <c r="B49" s="22">
        <f t="shared" ref="B49:K49" si="17">$B$14*(1+$B$5)^(B48-1)</f>
        <v>388093.69148257084</v>
      </c>
      <c r="C49" s="22">
        <f t="shared" si="17"/>
        <v>395855.56531222217</v>
      </c>
      <c r="D49" s="22">
        <f t="shared" si="17"/>
        <v>403772.67661846668</v>
      </c>
      <c r="E49" s="22">
        <f t="shared" si="17"/>
        <v>411848.13015083596</v>
      </c>
      <c r="F49" s="22">
        <f t="shared" si="17"/>
        <v>420085.09275385272</v>
      </c>
      <c r="G49" s="22">
        <f t="shared" si="17"/>
        <v>428486.79460892966</v>
      </c>
      <c r="H49" s="22">
        <f t="shared" si="17"/>
        <v>437056.53050110833</v>
      </c>
      <c r="I49" s="22">
        <f t="shared" si="17"/>
        <v>445797.66111113055</v>
      </c>
      <c r="J49" s="22">
        <f t="shared" si="17"/>
        <v>454713.61433335312</v>
      </c>
      <c r="K49" s="23">
        <f t="shared" si="17"/>
        <v>463807.88662002014</v>
      </c>
    </row>
    <row r="50" spans="1:11" ht="13.15" customHeight="1">
      <c r="A50" s="24" t="s">
        <v>1632</v>
      </c>
      <c r="B50" s="25">
        <f t="shared" ref="B50:K50" si="18">$B$15*(1+$B$5)^(B48-1)</f>
        <v>7761.8738296514166</v>
      </c>
      <c r="C50" s="25">
        <f t="shared" si="18"/>
        <v>7917.1113062444438</v>
      </c>
      <c r="D50" s="25">
        <f t="shared" si="18"/>
        <v>8075.4535323693335</v>
      </c>
      <c r="E50" s="25">
        <f t="shared" si="18"/>
        <v>8236.9626030167201</v>
      </c>
      <c r="F50" s="25">
        <f t="shared" si="18"/>
        <v>8401.7018550770554</v>
      </c>
      <c r="G50" s="25">
        <f t="shared" si="18"/>
        <v>8569.7358921785944</v>
      </c>
      <c r="H50" s="25">
        <f t="shared" si="18"/>
        <v>8741.1306100221682</v>
      </c>
      <c r="I50" s="25">
        <f t="shared" si="18"/>
        <v>8915.9532222226117</v>
      </c>
      <c r="J50" s="25">
        <f t="shared" si="18"/>
        <v>9094.2722866670629</v>
      </c>
      <c r="K50" s="26">
        <f t="shared" si="18"/>
        <v>9276.1577324004029</v>
      </c>
    </row>
    <row r="51" spans="1:11" ht="13.15" customHeight="1">
      <c r="A51" s="24" t="s">
        <v>3642</v>
      </c>
      <c r="B51" s="25">
        <f t="shared" ref="B51:K51" si="19">-(B49+B50)*$B$8</f>
        <v>-27709.889571855558</v>
      </c>
      <c r="C51" s="25">
        <f t="shared" si="19"/>
        <v>-28264.087363292667</v>
      </c>
      <c r="D51" s="25">
        <f t="shared" si="19"/>
        <v>-28829.369110558524</v>
      </c>
      <c r="E51" s="25">
        <f t="shared" si="19"/>
        <v>-29405.956492769688</v>
      </c>
      <c r="F51" s="25">
        <f t="shared" si="19"/>
        <v>-29994.075622625089</v>
      </c>
      <c r="G51" s="25">
        <f t="shared" si="19"/>
        <v>-30593.95713507758</v>
      </c>
      <c r="H51" s="25">
        <f t="shared" si="19"/>
        <v>-31205.836277779137</v>
      </c>
      <c r="I51" s="25">
        <f t="shared" si="19"/>
        <v>-31829.953003334726</v>
      </c>
      <c r="J51" s="25">
        <f t="shared" si="19"/>
        <v>-32466.552063401417</v>
      </c>
      <c r="K51" s="26">
        <f t="shared" si="19"/>
        <v>-33115.883104669439</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0">$B$19*(1+$B$6)^(B48-1)</f>
        <v>-230293.51076440871</v>
      </c>
      <c r="C54" s="25">
        <f t="shared" si="20"/>
        <v>-237202.31608734097</v>
      </c>
      <c r="D54" s="25">
        <f t="shared" si="20"/>
        <v>-244318.38556996116</v>
      </c>
      <c r="E54" s="25">
        <f t="shared" si="20"/>
        <v>-251647.93713705998</v>
      </c>
      <c r="F54" s="25">
        <f t="shared" si="20"/>
        <v>-259197.37525117182</v>
      </c>
      <c r="G54" s="25">
        <f t="shared" si="20"/>
        <v>-266973.29650870699</v>
      </c>
      <c r="H54" s="25">
        <f t="shared" si="20"/>
        <v>-274982.49540396815</v>
      </c>
      <c r="I54" s="25">
        <f t="shared" si="20"/>
        <v>-283231.97026608721</v>
      </c>
      <c r="J54" s="25">
        <f t="shared" si="20"/>
        <v>-291728.92937406979</v>
      </c>
      <c r="K54" s="26">
        <f t="shared" si="20"/>
        <v>-300480.79725529189</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-25770</v>
      </c>
      <c r="C55" s="25">
        <f>IF(AND('Part VII-Pro Forma'!$G$8="Yes",'Part VII-Pro Forma'!$G$9="Yes"),"Choose One!",IF('Part VII-Pro Forma'!$G$8="Yes",ROUND((-$K$8*(1+'Part VII-Pro Forma'!$B$6)^('Part VII-Pro Forma'!C48-1)),),IF('Part VII-Pro Forma'!$G$9="Yes",ROUND((-(SUM(C49:C52)*'Part VII-Pro Forma'!$K$9)),),"Choose mgt fee")))</f>
        <v>-26286</v>
      </c>
      <c r="D55" s="25">
        <f>IF(AND('Part VII-Pro Forma'!$G$8="Yes",'Part VII-Pro Forma'!$G$9="Yes"),"Choose One!",IF('Part VII-Pro Forma'!$G$8="Yes",ROUND((-$K$8*(1+'Part VII-Pro Forma'!$B$6)^('Part VII-Pro Forma'!D48-1)),),IF('Part VII-Pro Forma'!$G$9="Yes",ROUND((-(SUM(D49:D52)*'Part VII-Pro Forma'!$K$9)),),"Choose mgt fee")))</f>
        <v>-26811</v>
      </c>
      <c r="E55" s="25">
        <f>IF(AND('Part VII-Pro Forma'!$G$8="Yes",'Part VII-Pro Forma'!$G$9="Yes"),"Choose One!",IF('Part VII-Pro Forma'!$G$8="Yes",ROUND((-$K$8*(1+'Part VII-Pro Forma'!$B$6)^('Part VII-Pro Forma'!E48-1)),),IF('Part VII-Pro Forma'!$G$9="Yes",ROUND((-(SUM(E49:E52)*'Part VII-Pro Forma'!$K$9)),),"Choose mgt fee")))</f>
        <v>-27348</v>
      </c>
      <c r="F55" s="25">
        <f>IF(AND('Part VII-Pro Forma'!$G$8="Yes",'Part VII-Pro Forma'!$G$9="Yes"),"Choose One!",IF('Part VII-Pro Forma'!$G$8="Yes",ROUND((-$K$8*(1+'Part VII-Pro Forma'!$B$6)^('Part VII-Pro Forma'!F48-1)),),IF('Part VII-Pro Forma'!$G$9="Yes",ROUND((-(SUM(F49:F52)*'Part VII-Pro Forma'!$K$9)),),"Choose mgt fee")))</f>
        <v>-27894</v>
      </c>
      <c r="G55" s="25">
        <f>IF(AND('Part VII-Pro Forma'!$G$8="Yes",'Part VII-Pro Forma'!$G$9="Yes"),"Choose One!",IF('Part VII-Pro Forma'!$G$8="Yes",ROUND((-$K$8*(1+'Part VII-Pro Forma'!$B$6)^('Part VII-Pro Forma'!G48-1)),),IF('Part VII-Pro Forma'!$G$9="Yes",ROUND((-(SUM(G49:G52)*'Part VII-Pro Forma'!$K$9)),),"Choose mgt fee")))</f>
        <v>-28452</v>
      </c>
      <c r="H55" s="25">
        <f>IF(AND('Part VII-Pro Forma'!$G$8="Yes",'Part VII-Pro Forma'!$G$9="Yes"),"Choose One!",IF('Part VII-Pro Forma'!$G$8="Yes",ROUND((-$K$8*(1+'Part VII-Pro Forma'!$B$6)^('Part VII-Pro Forma'!H48-1)),),IF('Part VII-Pro Forma'!$G$9="Yes",ROUND((-(SUM(H49:H52)*'Part VII-Pro Forma'!$K$9)),),"Choose mgt fee")))</f>
        <v>-29021</v>
      </c>
      <c r="I55" s="25">
        <f>IF(AND('Part VII-Pro Forma'!$G$8="Yes",'Part VII-Pro Forma'!$G$9="Yes"),"Choose One!",IF('Part VII-Pro Forma'!$G$8="Yes",ROUND((-$K$8*(1+'Part VII-Pro Forma'!$B$6)^('Part VII-Pro Forma'!I48-1)),),IF('Part VII-Pro Forma'!$G$9="Yes",ROUND((-(SUM(I49:I52)*'Part VII-Pro Forma'!$K$9)),),"Choose mgt fee")))</f>
        <v>-29602</v>
      </c>
      <c r="J55" s="25">
        <f>IF(AND('Part VII-Pro Forma'!$G$8="Yes",'Part VII-Pro Forma'!$G$9="Yes"),"Choose One!",IF('Part VII-Pro Forma'!$G$8="Yes",ROUND((-$K$8*(1+'Part VII-Pro Forma'!$B$6)^('Part VII-Pro Forma'!J48-1)),),IF('Part VII-Pro Forma'!$G$9="Yes",ROUND((-(SUM(J49:J52)*'Part VII-Pro Forma'!$K$9)),),"Choose mgt fee")))</f>
        <v>-30194</v>
      </c>
      <c r="K55" s="25">
        <f>IF(AND('Part VII-Pro Forma'!$G$8="Yes",'Part VII-Pro Forma'!$G$9="Yes"),"Choose One!",IF('Part VII-Pro Forma'!$G$8="Yes",ROUND((-$K$8*(1+'Part VII-Pro Forma'!$B$6)^('Part VII-Pro Forma'!K48-1)),),IF('Part VII-Pro Forma'!$G$9="Yes",ROUND((-(SUM(K49:K52)*'Part VII-Pro Forma'!$K$9)),),"Choose mgt fee")))</f>
        <v>-30798</v>
      </c>
    </row>
    <row r="56" spans="1:11" ht="13.15" customHeight="1">
      <c r="A56" s="24" t="s">
        <v>1862</v>
      </c>
      <c r="B56" s="25">
        <f t="shared" ref="B56:K56" si="21">$B$21*(1+$B$7)^(B48-1)</f>
        <v>-19352.395862555353</v>
      </c>
      <c r="C56" s="25">
        <f t="shared" si="21"/>
        <v>-19932.967738432017</v>
      </c>
      <c r="D56" s="25">
        <f t="shared" si="21"/>
        <v>-20530.956770584973</v>
      </c>
      <c r="E56" s="25">
        <f t="shared" si="21"/>
        <v>-21146.885473702521</v>
      </c>
      <c r="F56" s="25">
        <f t="shared" si="21"/>
        <v>-21781.292037913598</v>
      </c>
      <c r="G56" s="25">
        <f t="shared" si="21"/>
        <v>-22434.730799051009</v>
      </c>
      <c r="H56" s="25">
        <f t="shared" si="21"/>
        <v>-23107.772723022536</v>
      </c>
      <c r="I56" s="25">
        <f t="shared" si="21"/>
        <v>-23801.005904713209</v>
      </c>
      <c r="J56" s="25">
        <f t="shared" si="21"/>
        <v>-24515.036081854607</v>
      </c>
      <c r="K56" s="26">
        <f t="shared" si="21"/>
        <v>-25250.487164310245</v>
      </c>
    </row>
    <row r="57" spans="1:11" ht="13.15" customHeight="1">
      <c r="A57" s="24" t="s">
        <v>1863</v>
      </c>
      <c r="B57" s="25">
        <f t="shared" ref="B57:K57" si="22">SUM(B49:B56)</f>
        <v>92729.769113402624</v>
      </c>
      <c r="C57" s="25">
        <f t="shared" si="22"/>
        <v>92087.305429400934</v>
      </c>
      <c r="D57" s="25">
        <f t="shared" si="22"/>
        <v>91358.418699731352</v>
      </c>
      <c r="E57" s="25">
        <f t="shared" si="22"/>
        <v>90536.313650320444</v>
      </c>
      <c r="F57" s="25">
        <f t="shared" si="22"/>
        <v>89620.051697219285</v>
      </c>
      <c r="G57" s="25">
        <f t="shared" si="22"/>
        <v>88602.54605827271</v>
      </c>
      <c r="H57" s="25">
        <f t="shared" si="22"/>
        <v>87480.556706360687</v>
      </c>
      <c r="I57" s="25">
        <f t="shared" si="22"/>
        <v>86248.685159218003</v>
      </c>
      <c r="J57" s="25">
        <f t="shared" si="22"/>
        <v>84903.36910069437</v>
      </c>
      <c r="K57" s="26">
        <f t="shared" si="22"/>
        <v>83438.876828148961</v>
      </c>
    </row>
    <row r="58" spans="1:11" ht="13.15" customHeight="1">
      <c r="A58" s="24" t="str">
        <f t="shared" ref="A58:A63" si="23">$A23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3"/>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3"/>
        <v>D/S Mortgage A</v>
      </c>
      <c r="B60" s="1285">
        <f>IF('Part III A-Sources of Funds'!$M$33="", 0,-'Part III A-Sources of Funds'!$M$33)</f>
        <v>-64477.102100313889</v>
      </c>
      <c r="C60" s="1285">
        <f>IF('Part III A-Sources of Funds'!$M$33="", 0,-'Part III A-Sources of Funds'!$M$33)</f>
        <v>-64477.102100313889</v>
      </c>
      <c r="D60" s="1285">
        <f>IF('Part III A-Sources of Funds'!$M$33="", 0,-'Part III A-Sources of Funds'!$M$33)</f>
        <v>-64477.102100313889</v>
      </c>
      <c r="E60" s="1285">
        <f>IF('Part III A-Sources of Funds'!$M$33="", 0,-'Part III A-Sources of Funds'!$M$33)</f>
        <v>-64477.102100313889</v>
      </c>
      <c r="F60" s="1285">
        <f>IF('Part III A-Sources of Funds'!$M$33="", 0,-'Part III A-Sources of Funds'!$M$33)</f>
        <v>-64477.102100313889</v>
      </c>
      <c r="G60" s="1285">
        <f>IF('Part III A-Sources of Funds'!$M$33="", 0,-'Part III A-Sources of Funds'!$M$33)</f>
        <v>-64477.102100313889</v>
      </c>
      <c r="H60" s="1285">
        <f>IF('Part III A-Sources of Funds'!$M$33="", 0,-'Part III A-Sources of Funds'!$M$33)</f>
        <v>-64477.102100313889</v>
      </c>
      <c r="I60" s="1285">
        <f>IF('Part III A-Sources of Funds'!$M$33="", 0,-'Part III A-Sources of Funds'!$M$33)</f>
        <v>-64477.102100313889</v>
      </c>
      <c r="J60" s="1285">
        <f>IF('Part III A-Sources of Funds'!$M$33="", 0,-'Part III A-Sources of Funds'!$M$33)</f>
        <v>-64477.102100313889</v>
      </c>
      <c r="K60" s="1285">
        <f>IF('Part III A-Sources of Funds'!$M$33="", 0,-'Part III A-Sources of Funds'!$M$33)</f>
        <v>-64477.102100313889</v>
      </c>
    </row>
    <row r="61" spans="1:11" ht="13.15" customHeight="1">
      <c r="A61" s="24" t="str">
        <f t="shared" si="23"/>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3"/>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3"/>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1336</v>
      </c>
      <c r="B64" s="1286"/>
      <c r="C64" s="1286"/>
      <c r="D64" s="1286"/>
      <c r="E64" s="1286"/>
      <c r="F64" s="1286"/>
      <c r="G64" s="1286"/>
      <c r="H64" s="1286"/>
      <c r="I64" s="1286"/>
      <c r="J64" s="1286"/>
      <c r="K64" s="1286"/>
    </row>
    <row r="65" spans="1:11" ht="13.15" customHeight="1">
      <c r="A65" s="24" t="s">
        <v>1807</v>
      </c>
      <c r="B65" s="1285">
        <v>-6720</v>
      </c>
      <c r="C65" s="1285">
        <v>-6921</v>
      </c>
      <c r="D65" s="1285">
        <v>-7129</v>
      </c>
      <c r="E65" s="1285">
        <v>-7343</v>
      </c>
      <c r="F65" s="1285">
        <v>-7563</v>
      </c>
      <c r="G65" s="1285"/>
      <c r="H65" s="1285">
        <f t="shared" ref="H65:K65" si="24">+G65</f>
        <v>0</v>
      </c>
      <c r="I65" s="1285">
        <f t="shared" si="24"/>
        <v>0</v>
      </c>
      <c r="J65" s="1285">
        <f t="shared" si="24"/>
        <v>0</v>
      </c>
      <c r="K65" s="1285">
        <f t="shared" si="24"/>
        <v>0</v>
      </c>
    </row>
    <row r="66" spans="1:11" ht="13.15" customHeight="1">
      <c r="A66" s="24" t="s">
        <v>1864</v>
      </c>
      <c r="B66" s="1285">
        <v>-8871</v>
      </c>
      <c r="C66" s="1285">
        <v>-8871</v>
      </c>
      <c r="D66" s="1285">
        <v>-8871</v>
      </c>
      <c r="E66" s="1285">
        <v>-8871</v>
      </c>
      <c r="F66" s="1285">
        <v>-8871</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1808</v>
      </c>
      <c r="B67" s="1287">
        <f>+K32</f>
        <v>0</v>
      </c>
      <c r="C67" s="1287">
        <f t="shared" ref="C67:K67" si="25">+B67</f>
        <v>0</v>
      </c>
      <c r="D67" s="1287">
        <f t="shared" si="25"/>
        <v>0</v>
      </c>
      <c r="E67" s="1287">
        <f t="shared" si="25"/>
        <v>0</v>
      </c>
      <c r="F67" s="1287">
        <f t="shared" si="25"/>
        <v>0</v>
      </c>
      <c r="G67" s="1287">
        <f t="shared" si="25"/>
        <v>0</v>
      </c>
      <c r="H67" s="1287">
        <f t="shared" si="25"/>
        <v>0</v>
      </c>
      <c r="I67" s="1287">
        <f t="shared" si="25"/>
        <v>0</v>
      </c>
      <c r="J67" s="1287">
        <f t="shared" si="25"/>
        <v>0</v>
      </c>
      <c r="K67" s="1287">
        <f t="shared" si="25"/>
        <v>0</v>
      </c>
    </row>
    <row r="68" spans="1:11" ht="13.15" customHeight="1">
      <c r="A68" s="24" t="s">
        <v>1809</v>
      </c>
      <c r="B68" s="25">
        <f t="shared" ref="B68:K68" si="26">SUM(B57:B67)</f>
        <v>12661.667013088736</v>
      </c>
      <c r="C68" s="25">
        <f t="shared" si="26"/>
        <v>11818.203329087046</v>
      </c>
      <c r="D68" s="25">
        <f t="shared" si="26"/>
        <v>10881.316599417463</v>
      </c>
      <c r="E68" s="25">
        <f t="shared" si="26"/>
        <v>9845.2115500065556</v>
      </c>
      <c r="F68" s="25">
        <f t="shared" si="26"/>
        <v>8708.9495969053969</v>
      </c>
      <c r="G68" s="25">
        <f t="shared" si="26"/>
        <v>24125.443957958822</v>
      </c>
      <c r="H68" s="25">
        <f t="shared" si="26"/>
        <v>23003.454606046798</v>
      </c>
      <c r="I68" s="25">
        <f t="shared" si="26"/>
        <v>21771.583058904114</v>
      </c>
      <c r="J68" s="25">
        <f t="shared" si="26"/>
        <v>20426.267000380481</v>
      </c>
      <c r="K68" s="23">
        <f t="shared" si="26"/>
        <v>18961.774727835073</v>
      </c>
    </row>
    <row r="69" spans="1:11" ht="13.15" customHeight="1">
      <c r="A69" s="24" t="str">
        <f t="shared" ref="A69:A74" si="27">$A34</f>
        <v/>
      </c>
      <c r="B69" s="27" t="str">
        <f>IF(B58=0,"",-B57/B58)</f>
        <v/>
      </c>
      <c r="C69" s="27" t="str">
        <f t="shared" ref="C69:K69" si="28">IF(C58=0,"",-C57/C58)</f>
        <v/>
      </c>
      <c r="D69" s="27" t="str">
        <f t="shared" si="28"/>
        <v/>
      </c>
      <c r="E69" s="27" t="str">
        <f t="shared" si="28"/>
        <v/>
      </c>
      <c r="F69" s="27" t="str">
        <f t="shared" si="28"/>
        <v/>
      </c>
      <c r="G69" s="27" t="str">
        <f t="shared" si="28"/>
        <v/>
      </c>
      <c r="H69" s="27" t="str">
        <f t="shared" si="28"/>
        <v/>
      </c>
      <c r="I69" s="27" t="str">
        <f t="shared" si="28"/>
        <v/>
      </c>
      <c r="J69" s="27" t="str">
        <f t="shared" si="28"/>
        <v/>
      </c>
      <c r="K69" s="28" t="str">
        <f t="shared" si="28"/>
        <v/>
      </c>
    </row>
    <row r="70" spans="1:11" ht="13.15" customHeight="1">
      <c r="A70" s="24" t="str">
        <f t="shared" si="27"/>
        <v/>
      </c>
      <c r="B70" s="27" t="str">
        <f>IF(OR(B59=0,AND(B59=0,B58=0)),"",-B57/(B58+B59))</f>
        <v/>
      </c>
      <c r="C70" s="27" t="str">
        <f t="shared" ref="C70:K70" si="29">IF(OR(C59=0,AND(C59=0,C58=0)),"",-C57/(C58+C59))</f>
        <v/>
      </c>
      <c r="D70" s="27" t="str">
        <f t="shared" si="29"/>
        <v/>
      </c>
      <c r="E70" s="27" t="str">
        <f t="shared" si="29"/>
        <v/>
      </c>
      <c r="F70" s="27" t="str">
        <f t="shared" si="29"/>
        <v/>
      </c>
      <c r="G70" s="27" t="str">
        <f t="shared" si="29"/>
        <v/>
      </c>
      <c r="H70" s="27" t="str">
        <f t="shared" si="29"/>
        <v/>
      </c>
      <c r="I70" s="27" t="str">
        <f t="shared" si="29"/>
        <v/>
      </c>
      <c r="J70" s="27" t="str">
        <f t="shared" si="29"/>
        <v/>
      </c>
      <c r="K70" s="28" t="str">
        <f t="shared" si="29"/>
        <v/>
      </c>
    </row>
    <row r="71" spans="1:11" ht="13.15" customHeight="1">
      <c r="A71" s="24" t="str">
        <f t="shared" si="27"/>
        <v>DCR First Mortgage</v>
      </c>
      <c r="B71" s="27">
        <f>IF(OR(B60=0,AND(B60=0,B59=0,B58=0)),"",-B57/(B58+B59+B60))</f>
        <v>1.4381814022772466</v>
      </c>
      <c r="C71" s="27">
        <f t="shared" ref="C71:K71" si="30">IF(OR(C60=0,AND(C60=0,C59=0,C58=0)),"",-C57/(C58+C59+C60))</f>
        <v>1.4282171876479639</v>
      </c>
      <c r="D71" s="27">
        <f t="shared" si="30"/>
        <v>1.416912604998831</v>
      </c>
      <c r="E71" s="27">
        <f t="shared" si="30"/>
        <v>1.4041622638291571</v>
      </c>
      <c r="F71" s="27">
        <f t="shared" si="30"/>
        <v>1.3899516072820368</v>
      </c>
      <c r="G71" s="27">
        <f t="shared" si="30"/>
        <v>1.3741707237466148</v>
      </c>
      <c r="H71" s="27">
        <f t="shared" si="30"/>
        <v>1.3567693624049337</v>
      </c>
      <c r="I71" s="27">
        <f t="shared" si="30"/>
        <v>1.3376637961338855</v>
      </c>
      <c r="J71" s="27">
        <f t="shared" si="30"/>
        <v>1.3167987756118624</v>
      </c>
      <c r="K71" s="28">
        <f t="shared" si="30"/>
        <v>1.2940854056736952</v>
      </c>
    </row>
    <row r="72" spans="1:11" ht="13.15" customHeight="1">
      <c r="A72" s="24" t="str">
        <f t="shared" si="27"/>
        <v>DCR Second Mortgage</v>
      </c>
      <c r="B72" s="27" t="str">
        <f>IF(OR(B61=0,AND(B58=0,B59=0,B60=0,B61=0)),"",-B57/(B58+B59+B60+B61))</f>
        <v/>
      </c>
      <c r="C72" s="27" t="str">
        <f t="shared" ref="C72:K72" si="31">IF(OR(C61=0,AND(C58=0,C59=0,C60=0,C61=0)),"",-C57/(C58+C59+C60+C61))</f>
        <v/>
      </c>
      <c r="D72" s="27" t="str">
        <f t="shared" si="31"/>
        <v/>
      </c>
      <c r="E72" s="27" t="str">
        <f t="shared" si="31"/>
        <v/>
      </c>
      <c r="F72" s="27" t="str">
        <f t="shared" si="31"/>
        <v/>
      </c>
      <c r="G72" s="27" t="str">
        <f t="shared" si="31"/>
        <v/>
      </c>
      <c r="H72" s="27" t="str">
        <f t="shared" si="31"/>
        <v/>
      </c>
      <c r="I72" s="27" t="str">
        <f t="shared" si="31"/>
        <v/>
      </c>
      <c r="J72" s="27" t="str">
        <f t="shared" si="31"/>
        <v/>
      </c>
      <c r="K72" s="28" t="str">
        <f t="shared" si="31"/>
        <v/>
      </c>
    </row>
    <row r="73" spans="1:11" ht="13.15" customHeight="1">
      <c r="A73" s="24" t="str">
        <f t="shared" si="27"/>
        <v>DCR Other Source</v>
      </c>
      <c r="B73" s="27" t="str">
        <f>IF(OR(B62=0,AND(B58=0,B59=0,B60=0,B61=0,B62=0)),"",-B57/(B58+B59+B60+B61+B62))</f>
        <v/>
      </c>
      <c r="C73" s="27" t="str">
        <f t="shared" ref="C73:K73" si="32">IF(OR(C62=0,AND(C58=0,C59=0,C60=0,C61=0,C62=0)),"",-C57/(C58+C59+C60+C61+C62))</f>
        <v/>
      </c>
      <c r="D73" s="27" t="str">
        <f t="shared" si="32"/>
        <v/>
      </c>
      <c r="E73" s="27" t="str">
        <f t="shared" si="32"/>
        <v/>
      </c>
      <c r="F73" s="27" t="str">
        <f t="shared" si="32"/>
        <v/>
      </c>
      <c r="G73" s="27" t="str">
        <f t="shared" si="32"/>
        <v/>
      </c>
      <c r="H73" s="27" t="str">
        <f t="shared" si="32"/>
        <v/>
      </c>
      <c r="I73" s="27" t="str">
        <f t="shared" si="32"/>
        <v/>
      </c>
      <c r="J73" s="27" t="str">
        <f t="shared" si="32"/>
        <v/>
      </c>
      <c r="K73" s="28" t="str">
        <f t="shared" si="32"/>
        <v/>
      </c>
    </row>
    <row r="74" spans="1:11" ht="13.15" customHeight="1">
      <c r="A74" s="24" t="str">
        <f t="shared" si="27"/>
        <v>DCR Other Source</v>
      </c>
      <c r="B74" s="27" t="str">
        <f>IF(OR(B63=0,AND(B58=0,B59=0,B60=0,B61=0,B62=0,B63=0)),"",-B57/(B58+B59+B60+B61+B62+B63))</f>
        <v/>
      </c>
      <c r="C74" s="27" t="str">
        <f t="shared" ref="C74:K74" si="33">IF(OR(C63=0,AND(C58=0,C59=0,C60=0,C61=0,C62=0,C63=0)),"",-C57/(C58+C59+C60+C61+C62+C63))</f>
        <v/>
      </c>
      <c r="D74" s="27" t="str">
        <f t="shared" si="33"/>
        <v/>
      </c>
      <c r="E74" s="27" t="str">
        <f t="shared" si="33"/>
        <v/>
      </c>
      <c r="F74" s="27" t="str">
        <f t="shared" si="33"/>
        <v/>
      </c>
      <c r="G74" s="27" t="str">
        <f t="shared" si="33"/>
        <v/>
      </c>
      <c r="H74" s="27" t="str">
        <f t="shared" si="33"/>
        <v/>
      </c>
      <c r="I74" s="27" t="str">
        <f t="shared" si="33"/>
        <v/>
      </c>
      <c r="J74" s="27" t="str">
        <f t="shared" si="33"/>
        <v/>
      </c>
      <c r="K74" s="28" t="str">
        <f t="shared" si="33"/>
        <v/>
      </c>
    </row>
    <row r="75" spans="1:11" ht="13.15" customHeight="1">
      <c r="A75" s="24" t="s">
        <v>1345</v>
      </c>
      <c r="B75" s="379">
        <f>IF(OR(B55="Choose mgt fee",B55="Choose One!"),"",(B49+B50+B51+B52+B53) / -(B54+B55+B56))</f>
        <v>1.3366899546546529</v>
      </c>
      <c r="C75" s="379">
        <f t="shared" ref="C75:K75" si="34">IF(OR(C55="Choose mgt fee",C55="Choose One!"),"",(C49+C50+C51+C52+C53) / -(C54+C55+C56))</f>
        <v>1.3249131617299768</v>
      </c>
      <c r="D75" s="379">
        <f t="shared" si="34"/>
        <v>1.3132356561285941</v>
      </c>
      <c r="E75" s="379">
        <f t="shared" si="34"/>
        <v>1.3016441068382023</v>
      </c>
      <c r="F75" s="379">
        <f t="shared" si="34"/>
        <v>1.2901520956315005</v>
      </c>
      <c r="G75" s="379">
        <f t="shared" si="34"/>
        <v>1.2787470535654553</v>
      </c>
      <c r="H75" s="379">
        <f t="shared" si="34"/>
        <v>1.2674336387348144</v>
      </c>
      <c r="I75" s="379">
        <f t="shared" si="34"/>
        <v>1.25620833028193</v>
      </c>
      <c r="J75" s="379">
        <f t="shared" si="34"/>
        <v>1.2450752445360849</v>
      </c>
      <c r="K75" s="380">
        <f t="shared" si="34"/>
        <v>1.2340309210896379</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640245.27325163083</v>
      </c>
      <c r="C77" s="1285">
        <f>IF('Part III A-Sources of Funds'!$H$33="","",-FV('Part III A-Sources of Funds'!$J$33/12,12,C60/12,B77))</f>
        <v>624847.87939338386</v>
      </c>
      <c r="D77" s="1285">
        <f>IF('Part III A-Sources of Funds'!$H$33="","",-FV('Part III A-Sources of Funds'!$J$33/12,12,D60/12,C77))</f>
        <v>608213.874676493</v>
      </c>
      <c r="E77" s="1285">
        <f>IF('Part III A-Sources of Funds'!$H$33="","",-FV('Part III A-Sources of Funds'!$J$33/12,12,E60/12,D77))</f>
        <v>590243.94317582215</v>
      </c>
      <c r="F77" s="1285">
        <f>IF('Part III A-Sources of Funds'!$H$33="","",-FV('Part III A-Sources of Funds'!$J$33/12,12,F60/12,E77))</f>
        <v>570830.7926065611</v>
      </c>
      <c r="G77" s="1285">
        <f>IF('Part III A-Sources of Funds'!$H$33="","",-FV('Part III A-Sources of Funds'!$J$33/12,12,G60/12,F77))</f>
        <v>549858.51371886849</v>
      </c>
      <c r="H77" s="1285">
        <f>IF('Part III A-Sources of Funds'!$H$33="","",-FV('Part III A-Sources of Funds'!$J$33/12,12,H60/12,G77))</f>
        <v>527201.88824357861</v>
      </c>
      <c r="I77" s="1285">
        <f>IF('Part III A-Sources of Funds'!$H$33="","",-FV('Part III A-Sources of Funds'!$J$33/12,12,I60/12,H77))</f>
        <v>502725.6412569533</v>
      </c>
      <c r="J77" s="1285">
        <f>IF('Part III A-Sources of Funds'!$H$33="","",-FV('Part III A-Sources of Funds'!$J$33/12,12,J60/12,I77))</f>
        <v>476283.6335006053</v>
      </c>
      <c r="K77" s="1285">
        <f>IF('Part III A-Sources of Funds'!$H$33="","",-FV('Part III A-Sources of Funds'!$J$33/12,12,K60/12,J77))</f>
        <v>447717.98883421411</v>
      </c>
    </row>
    <row r="78" spans="1:11" ht="13.1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1364</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1364</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1899</v>
      </c>
      <c r="B81" s="1287">
        <f>IF('Part III A-Sources of Funds'!$H$37="","",-FV('Part III A-Sources of Funds'!$J$37/12,12,B66/12,K46))</f>
        <v>35480</v>
      </c>
      <c r="C81" s="1287">
        <f>IF('Part III A-Sources of Funds'!$H$37="","",-FV('Part III A-Sources of Funds'!$J$37/12,12,C66/12,B81))</f>
        <v>26609</v>
      </c>
      <c r="D81" s="1287">
        <f>IF('Part III A-Sources of Funds'!$H$37="","",-FV('Part III A-Sources of Funds'!$J$37/12,12,D66/12,C81))</f>
        <v>17738</v>
      </c>
      <c r="E81" s="1287">
        <f>IF('Part III A-Sources of Funds'!$H$37="","",-FV('Part III A-Sources of Funds'!$J$37/12,12,E66/12,D81))</f>
        <v>8867</v>
      </c>
      <c r="F81" s="1287">
        <f>IF('Part III A-Sources of Funds'!$H$37="","",-FV('Part III A-Sources of Funds'!$J$37/12,12,F66/12,E81))</f>
        <v>-4</v>
      </c>
      <c r="G81" s="1287">
        <f>IF('Part III A-Sources of Funds'!$H$37="","",-FV('Part III A-Sources of Funds'!$J$37/12,12,G66/12,F81))</f>
        <v>-4</v>
      </c>
      <c r="H81" s="1287">
        <f>IF('Part III A-Sources of Funds'!$H$37="","",-FV('Part III A-Sources of Funds'!$J$37/12,12,H66/12,G81))</f>
        <v>-4</v>
      </c>
      <c r="I81" s="1287">
        <f>IF('Part III A-Sources of Funds'!$H$37="","",-FV('Part III A-Sources of Funds'!$J$37/12,12,I66/12,H81))</f>
        <v>-4</v>
      </c>
      <c r="J81" s="1287">
        <f>IF('Part III A-Sources of Funds'!$H$37="","",-FV('Part III A-Sources of Funds'!$J$37/12,12,J66/12,I81))</f>
        <v>-4</v>
      </c>
      <c r="K81" s="1287">
        <f>IF('Part III A-Sources of Funds'!$H$37="","",-FV('Part III A-Sources of Funds'!$J$37/12,12,K66/12,J81))</f>
        <v>-4</v>
      </c>
    </row>
    <row r="82" spans="1:11" ht="4.1500000000000004" customHeight="1">
      <c r="B82" s="20"/>
      <c r="C82" s="20"/>
      <c r="D82" s="20"/>
      <c r="E82" s="20"/>
      <c r="F82" s="20"/>
      <c r="G82" s="20"/>
      <c r="H82" s="20"/>
      <c r="I82" s="20"/>
      <c r="J82" s="20"/>
      <c r="K82" s="20"/>
    </row>
    <row r="83" spans="1:11" ht="14.45" customHeight="1">
      <c r="A83" s="16" t="s">
        <v>3752</v>
      </c>
      <c r="B83" s="18">
        <f>K48+1</f>
        <v>21</v>
      </c>
      <c r="C83" s="18">
        <f t="shared" ref="C83:K83" si="35">B83+1</f>
        <v>22</v>
      </c>
      <c r="D83" s="18">
        <f t="shared" si="35"/>
        <v>23</v>
      </c>
      <c r="E83" s="18">
        <f t="shared" si="35"/>
        <v>24</v>
      </c>
      <c r="F83" s="18">
        <f t="shared" si="35"/>
        <v>25</v>
      </c>
      <c r="G83" s="18">
        <f t="shared" si="35"/>
        <v>26</v>
      </c>
      <c r="H83" s="18">
        <f t="shared" si="35"/>
        <v>27</v>
      </c>
      <c r="I83" s="18">
        <f t="shared" si="35"/>
        <v>28</v>
      </c>
      <c r="J83" s="18">
        <f t="shared" si="35"/>
        <v>29</v>
      </c>
      <c r="K83" s="18">
        <f t="shared" si="35"/>
        <v>30</v>
      </c>
    </row>
    <row r="84" spans="1:11" ht="13.15" customHeight="1">
      <c r="A84" s="21" t="s">
        <v>3641</v>
      </c>
      <c r="B84" s="22">
        <f t="shared" ref="B84:K84" si="36">$B$14*(1+$B$5)^(B83-1)</f>
        <v>473084.04435242061</v>
      </c>
      <c r="C84" s="22">
        <f t="shared" si="36"/>
        <v>482545.72523946897</v>
      </c>
      <c r="D84" s="22">
        <f t="shared" si="36"/>
        <v>492196.63974425837</v>
      </c>
      <c r="E84" s="22">
        <f t="shared" si="36"/>
        <v>502040.57253914344</v>
      </c>
      <c r="F84" s="22">
        <f t="shared" si="36"/>
        <v>512081.38398992637</v>
      </c>
      <c r="G84" s="22">
        <f t="shared" si="36"/>
        <v>522323.01166972489</v>
      </c>
      <c r="H84" s="22">
        <f t="shared" si="36"/>
        <v>532769.47190311947</v>
      </c>
      <c r="I84" s="22">
        <f t="shared" si="36"/>
        <v>543424.86134118168</v>
      </c>
      <c r="J84" s="22">
        <f t="shared" si="36"/>
        <v>554293.3585680055</v>
      </c>
      <c r="K84" s="23">
        <f t="shared" si="36"/>
        <v>565379.22573936544</v>
      </c>
    </row>
    <row r="85" spans="1:11" ht="13.15" customHeight="1">
      <c r="A85" s="24" t="s">
        <v>1632</v>
      </c>
      <c r="B85" s="25">
        <f t="shared" ref="B85:K85" si="37">$B$15*(1+$B$5)^(B83-1)</f>
        <v>9461.6808870484128</v>
      </c>
      <c r="C85" s="25">
        <f t="shared" si="37"/>
        <v>9650.9145047893799</v>
      </c>
      <c r="D85" s="25">
        <f t="shared" si="37"/>
        <v>9843.9327948851678</v>
      </c>
      <c r="E85" s="25">
        <f t="shared" si="37"/>
        <v>10040.81145078287</v>
      </c>
      <c r="F85" s="25">
        <f t="shared" si="37"/>
        <v>10241.627679798528</v>
      </c>
      <c r="G85" s="25">
        <f t="shared" si="37"/>
        <v>10446.460233394499</v>
      </c>
      <c r="H85" s="25">
        <f t="shared" si="37"/>
        <v>10655.38943806239</v>
      </c>
      <c r="I85" s="25">
        <f t="shared" si="37"/>
        <v>10868.497226823636</v>
      </c>
      <c r="J85" s="25">
        <f t="shared" si="37"/>
        <v>11085.867171360111</v>
      </c>
      <c r="K85" s="26">
        <f t="shared" si="37"/>
        <v>11307.584514787311</v>
      </c>
    </row>
    <row r="86" spans="1:11" ht="13.15" customHeight="1">
      <c r="A86" s="24" t="s">
        <v>3642</v>
      </c>
      <c r="B86" s="25">
        <f t="shared" ref="B86:K86" si="38">-(B84+B85)*$B$8</f>
        <v>-33778.200766762835</v>
      </c>
      <c r="C86" s="25">
        <f t="shared" si="38"/>
        <v>-34453.764782098086</v>
      </c>
      <c r="D86" s="25">
        <f t="shared" si="38"/>
        <v>-35142.840077740053</v>
      </c>
      <c r="E86" s="25">
        <f t="shared" si="38"/>
        <v>-35845.696879294846</v>
      </c>
      <c r="F86" s="25">
        <f t="shared" si="38"/>
        <v>-36562.610816880748</v>
      </c>
      <c r="G86" s="25">
        <f t="shared" si="38"/>
        <v>-37293.86303321836</v>
      </c>
      <c r="H86" s="25">
        <f t="shared" si="38"/>
        <v>-38039.740293882736</v>
      </c>
      <c r="I86" s="25">
        <f t="shared" si="38"/>
        <v>-38800.535099760375</v>
      </c>
      <c r="J86" s="25">
        <f t="shared" si="38"/>
        <v>-39576.545801755594</v>
      </c>
      <c r="K86" s="26">
        <f t="shared" si="38"/>
        <v>-40368.076717790696</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39">$B$19*(1+$B$6)^(B83-1)</f>
        <v>-309495.22117295064</v>
      </c>
      <c r="C89" s="25">
        <f t="shared" si="39"/>
        <v>-318780.07780813915</v>
      </c>
      <c r="D89" s="25">
        <f t="shared" si="39"/>
        <v>-328343.48014238331</v>
      </c>
      <c r="E89" s="25">
        <f t="shared" si="39"/>
        <v>-338193.78454665485</v>
      </c>
      <c r="F89" s="25">
        <f t="shared" si="39"/>
        <v>-348339.59808305447</v>
      </c>
      <c r="G89" s="25">
        <f t="shared" si="39"/>
        <v>-358789.78602554608</v>
      </c>
      <c r="H89" s="25">
        <f t="shared" si="39"/>
        <v>-369553.47960631252</v>
      </c>
      <c r="I89" s="25">
        <f t="shared" si="39"/>
        <v>-380640.08399450185</v>
      </c>
      <c r="J89" s="25">
        <f t="shared" si="39"/>
        <v>-392059.28651433688</v>
      </c>
      <c r="K89" s="26">
        <f t="shared" si="39"/>
        <v>-403821.06510976696</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-31414</v>
      </c>
      <c r="C90" s="25">
        <f>IF(AND('Part VII-Pro Forma'!$G$8="Yes",'Part VII-Pro Forma'!$G$9="Yes"),"Choose One!",IF('Part VII-Pro Forma'!$G$8="Yes",ROUND((-$K$8*(1+'Part VII-Pro Forma'!$B$6)^('Part VII-Pro Forma'!C83-1)),),IF('Part VII-Pro Forma'!$G$9="Yes",ROUND((-(SUM(C84:C87)*'Part VII-Pro Forma'!$K$9)),),"Choose mgt fee")))</f>
        <v>-32042</v>
      </c>
      <c r="D90" s="25">
        <f>IF(AND('Part VII-Pro Forma'!$G$8="Yes",'Part VII-Pro Forma'!$G$9="Yes"),"Choose One!",IF('Part VII-Pro Forma'!$G$8="Yes",ROUND((-$K$8*(1+'Part VII-Pro Forma'!$B$6)^('Part VII-Pro Forma'!D83-1)),),IF('Part VII-Pro Forma'!$G$9="Yes",ROUND((-(SUM(D84:D87)*'Part VII-Pro Forma'!$K$9)),),"Choose mgt fee")))</f>
        <v>-32683</v>
      </c>
      <c r="E90" s="25">
        <f>IF(AND('Part VII-Pro Forma'!$G$8="Yes",'Part VII-Pro Forma'!$G$9="Yes"),"Choose One!",IF('Part VII-Pro Forma'!$G$8="Yes",ROUND((-$K$8*(1+'Part VII-Pro Forma'!$B$6)^('Part VII-Pro Forma'!E83-1)),),IF('Part VII-Pro Forma'!$G$9="Yes",ROUND((-(SUM(E84:E87)*'Part VII-Pro Forma'!$K$9)),),"Choose mgt fee")))</f>
        <v>-33336</v>
      </c>
      <c r="F90" s="25">
        <f>IF(AND('Part VII-Pro Forma'!$G$8="Yes",'Part VII-Pro Forma'!$G$9="Yes"),"Choose One!",IF('Part VII-Pro Forma'!$G$8="Yes",ROUND((-$K$8*(1+'Part VII-Pro Forma'!$B$6)^('Part VII-Pro Forma'!F83-1)),),IF('Part VII-Pro Forma'!$G$9="Yes",ROUND((-(SUM(F84:F87)*'Part VII-Pro Forma'!$K$9)),),"Choose mgt fee")))</f>
        <v>-34003</v>
      </c>
      <c r="G90" s="25">
        <f>IF(AND('Part VII-Pro Forma'!$G$8="Yes",'Part VII-Pro Forma'!$G$9="Yes"),"Choose One!",IF('Part VII-Pro Forma'!$G$8="Yes",ROUND((-$K$8*(1+'Part VII-Pro Forma'!$B$6)^('Part VII-Pro Forma'!G83-1)),),IF('Part VII-Pro Forma'!$G$9="Yes",ROUND((-(SUM(G84:G87)*'Part VII-Pro Forma'!$K$9)),),"Choose mgt fee")))</f>
        <v>-34683</v>
      </c>
      <c r="H90" s="25">
        <f>IF(AND('Part VII-Pro Forma'!$G$8="Yes",'Part VII-Pro Forma'!$G$9="Yes"),"Choose One!",IF('Part VII-Pro Forma'!$G$8="Yes",ROUND((-$K$8*(1+'Part VII-Pro Forma'!$B$6)^('Part VII-Pro Forma'!H83-1)),),IF('Part VII-Pro Forma'!$G$9="Yes",ROUND((-(SUM(H84:H87)*'Part VII-Pro Forma'!$K$9)),),"Choose mgt fee")))</f>
        <v>-35377</v>
      </c>
      <c r="I90" s="25">
        <f>IF(AND('Part VII-Pro Forma'!$G$8="Yes",'Part VII-Pro Forma'!$G$9="Yes"),"Choose One!",IF('Part VII-Pro Forma'!$G$8="Yes",ROUND((-$K$8*(1+'Part VII-Pro Forma'!$B$6)^('Part VII-Pro Forma'!I83-1)),),IF('Part VII-Pro Forma'!$G$9="Yes",ROUND((-(SUM(I84:I87)*'Part VII-Pro Forma'!$K$9)),),"Choose mgt fee")))</f>
        <v>-36084</v>
      </c>
      <c r="J90" s="25">
        <f>IF(AND('Part VII-Pro Forma'!$G$8="Yes",'Part VII-Pro Forma'!$G$9="Yes"),"Choose One!",IF('Part VII-Pro Forma'!$G$8="Yes",ROUND((-$K$8*(1+'Part VII-Pro Forma'!$B$6)^('Part VII-Pro Forma'!J83-1)),),IF('Part VII-Pro Forma'!$G$9="Yes",ROUND((-(SUM(J84:J87)*'Part VII-Pro Forma'!$K$9)),),"Choose mgt fee")))</f>
        <v>-36806</v>
      </c>
      <c r="K90" s="25">
        <f>IF(AND('Part VII-Pro Forma'!$G$8="Yes",'Part VII-Pro Forma'!$G$9="Yes"),"Choose One!",IF('Part VII-Pro Forma'!$G$8="Yes",ROUND((-$K$8*(1+'Part VII-Pro Forma'!$B$6)^('Part VII-Pro Forma'!K83-1)),),IF('Part VII-Pro Forma'!$G$9="Yes",ROUND((-(SUM(K84:K87)*'Part VII-Pro Forma'!$K$9)),),"Choose mgt fee")))</f>
        <v>-37542</v>
      </c>
    </row>
    <row r="91" spans="1:11" ht="13.15" customHeight="1">
      <c r="A91" s="24" t="s">
        <v>1862</v>
      </c>
      <c r="B91" s="25">
        <f t="shared" ref="B91:K91" si="40">$B$21*(1+$B$7)^(B83-1)</f>
        <v>-26008.001779239552</v>
      </c>
      <c r="C91" s="25">
        <f t="shared" si="40"/>
        <v>-26788.241832616735</v>
      </c>
      <c r="D91" s="25">
        <f t="shared" si="40"/>
        <v>-27591.889087595238</v>
      </c>
      <c r="E91" s="25">
        <f t="shared" si="40"/>
        <v>-28419.645760223098</v>
      </c>
      <c r="F91" s="25">
        <f t="shared" si="40"/>
        <v>-29272.235133029786</v>
      </c>
      <c r="G91" s="25">
        <f t="shared" si="40"/>
        <v>-30150.402187020678</v>
      </c>
      <c r="H91" s="25">
        <f t="shared" si="40"/>
        <v>-31054.914252631304</v>
      </c>
      <c r="I91" s="25">
        <f t="shared" si="40"/>
        <v>-31986.561680210238</v>
      </c>
      <c r="J91" s="25">
        <f t="shared" si="40"/>
        <v>-32946.158530616543</v>
      </c>
      <c r="K91" s="26">
        <f t="shared" si="40"/>
        <v>-33934.543286535038</v>
      </c>
    </row>
    <row r="92" spans="1:11" ht="13.15" customHeight="1">
      <c r="A92" s="24" t="s">
        <v>1863</v>
      </c>
      <c r="B92" s="25">
        <f t="shared" ref="B92:K92" si="41">SUM(B84:B91)</f>
        <v>81850.301520516005</v>
      </c>
      <c r="C92" s="25">
        <f t="shared" si="41"/>
        <v>80132.555321404419</v>
      </c>
      <c r="D92" s="25">
        <f t="shared" si="41"/>
        <v>78279.363231424926</v>
      </c>
      <c r="E92" s="25">
        <f t="shared" si="41"/>
        <v>76286.256803753553</v>
      </c>
      <c r="F92" s="25">
        <f t="shared" si="41"/>
        <v>74145.567636759864</v>
      </c>
      <c r="G92" s="25">
        <f t="shared" si="41"/>
        <v>71852.420657334224</v>
      </c>
      <c r="H92" s="25">
        <f t="shared" si="41"/>
        <v>69399.727188355348</v>
      </c>
      <c r="I92" s="25">
        <f t="shared" si="41"/>
        <v>66782.177793532785</v>
      </c>
      <c r="J92" s="25">
        <f t="shared" si="41"/>
        <v>63991.23489265651</v>
      </c>
      <c r="K92" s="26">
        <f t="shared" si="41"/>
        <v>61021.125140060067</v>
      </c>
    </row>
    <row r="93" spans="1:11" ht="13.15" customHeight="1">
      <c r="A93" s="24" t="str">
        <f t="shared" ref="A93:A98" si="42">$A58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2"/>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2"/>
        <v>D/S Mortgage A</v>
      </c>
      <c r="B95" s="1285">
        <f>IF('Part III A-Sources of Funds'!$M$33="", 0,-'Part III A-Sources of Funds'!$M$33)</f>
        <v>-64477.102100313889</v>
      </c>
      <c r="C95" s="1285">
        <f>IF('Part III A-Sources of Funds'!$M$33="", 0,-'Part III A-Sources of Funds'!$M$33)</f>
        <v>-64477.102100313889</v>
      </c>
      <c r="D95" s="1285">
        <f>IF('Part III A-Sources of Funds'!$M$33="", 0,-'Part III A-Sources of Funds'!$M$33)</f>
        <v>-64477.102100313889</v>
      </c>
      <c r="E95" s="1285">
        <f>IF('Part III A-Sources of Funds'!$M$33="", 0,-'Part III A-Sources of Funds'!$M$33)</f>
        <v>-64477.102100313889</v>
      </c>
      <c r="F95" s="1285">
        <f>IF('Part III A-Sources of Funds'!$M$33="", 0,-'Part III A-Sources of Funds'!$M$33)</f>
        <v>-64477.102100313889</v>
      </c>
      <c r="G95" s="1285">
        <f>IF('Part III A-Sources of Funds'!$M$33="", 0,-'Part III A-Sources of Funds'!$M$33)</f>
        <v>-64477.102100313889</v>
      </c>
      <c r="H95" s="1285">
        <f>IF('Part III A-Sources of Funds'!$M$33="", 0,-'Part III A-Sources of Funds'!$M$33)</f>
        <v>-64477.102100313889</v>
      </c>
      <c r="I95" s="1285">
        <f>IF('Part III A-Sources of Funds'!$M$33="", 0,-'Part III A-Sources of Funds'!$M$33)</f>
        <v>-64477.102100313889</v>
      </c>
      <c r="J95" s="1285">
        <f>IF('Part III A-Sources of Funds'!$M$33="", 0,-'Part III A-Sources of Funds'!$M$33)</f>
        <v>-64477.102100313889</v>
      </c>
      <c r="K95" s="1285">
        <f>IF('Part III A-Sources of Funds'!$M$33="", 0,-'Part III A-Sources of Funds'!$M$33)</f>
        <v>-64477.102100313889</v>
      </c>
    </row>
    <row r="96" spans="1:11" ht="13.15" customHeight="1">
      <c r="A96" s="24" t="str">
        <f t="shared" si="42"/>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2"/>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2"/>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1336</v>
      </c>
      <c r="B99" s="1286"/>
      <c r="C99" s="1286"/>
      <c r="D99" s="1286"/>
      <c r="E99" s="1286"/>
      <c r="F99" s="1286"/>
      <c r="G99" s="1286"/>
      <c r="H99" s="1286"/>
      <c r="I99" s="1286"/>
      <c r="J99" s="1286"/>
      <c r="K99" s="1286"/>
    </row>
    <row r="100" spans="1:11" ht="13.15" customHeight="1">
      <c r="A100" s="24" t="s">
        <v>1807</v>
      </c>
      <c r="B100" s="1285">
        <f>+K65</f>
        <v>0</v>
      </c>
      <c r="C100" s="1285">
        <f t="shared" ref="C100:K100" si="43">+B100</f>
        <v>0</v>
      </c>
      <c r="D100" s="1285">
        <f t="shared" si="43"/>
        <v>0</v>
      </c>
      <c r="E100" s="1285">
        <f t="shared" si="43"/>
        <v>0</v>
      </c>
      <c r="F100" s="1285">
        <f t="shared" si="43"/>
        <v>0</v>
      </c>
      <c r="G100" s="1285">
        <f t="shared" si="43"/>
        <v>0</v>
      </c>
      <c r="H100" s="1285">
        <f t="shared" si="43"/>
        <v>0</v>
      </c>
      <c r="I100" s="1285">
        <f t="shared" si="43"/>
        <v>0</v>
      </c>
      <c r="J100" s="1285">
        <f t="shared" si="43"/>
        <v>0</v>
      </c>
      <c r="K100" s="1285">
        <f t="shared" si="43"/>
        <v>0</v>
      </c>
    </row>
    <row r="101" spans="1:11" ht="13.15" customHeight="1">
      <c r="A101" s="24" t="s">
        <v>1864</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1808</v>
      </c>
      <c r="B102" s="1287">
        <f>+K67</f>
        <v>0</v>
      </c>
      <c r="C102" s="1287">
        <f t="shared" ref="C102:K102" si="44">+B102</f>
        <v>0</v>
      </c>
      <c r="D102" s="1287">
        <f t="shared" si="44"/>
        <v>0</v>
      </c>
      <c r="E102" s="1287">
        <f t="shared" si="44"/>
        <v>0</v>
      </c>
      <c r="F102" s="1287">
        <f t="shared" si="44"/>
        <v>0</v>
      </c>
      <c r="G102" s="1287">
        <f t="shared" si="44"/>
        <v>0</v>
      </c>
      <c r="H102" s="1287">
        <f t="shared" si="44"/>
        <v>0</v>
      </c>
      <c r="I102" s="1287">
        <f t="shared" si="44"/>
        <v>0</v>
      </c>
      <c r="J102" s="1287">
        <f t="shared" si="44"/>
        <v>0</v>
      </c>
      <c r="K102" s="1287">
        <f t="shared" si="44"/>
        <v>0</v>
      </c>
    </row>
    <row r="103" spans="1:11" ht="13.15" customHeight="1">
      <c r="A103" s="24" t="s">
        <v>1809</v>
      </c>
      <c r="B103" s="25">
        <f t="shared" ref="B103:K103" si="45">SUM(B92:B102)</f>
        <v>17373.199420202116</v>
      </c>
      <c r="C103" s="25">
        <f t="shared" si="45"/>
        <v>15655.453221090531</v>
      </c>
      <c r="D103" s="25">
        <f t="shared" si="45"/>
        <v>13802.261131111038</v>
      </c>
      <c r="E103" s="25">
        <f t="shared" si="45"/>
        <v>11809.154703439664</v>
      </c>
      <c r="F103" s="25">
        <f t="shared" si="45"/>
        <v>9668.4655364459759</v>
      </c>
      <c r="G103" s="25">
        <f t="shared" si="45"/>
        <v>7375.318557020335</v>
      </c>
      <c r="H103" s="25">
        <f t="shared" si="45"/>
        <v>4922.6250880414591</v>
      </c>
      <c r="I103" s="25">
        <f t="shared" si="45"/>
        <v>2305.075693218896</v>
      </c>
      <c r="J103" s="25">
        <f t="shared" si="45"/>
        <v>-485.86720765737846</v>
      </c>
      <c r="K103" s="23">
        <f t="shared" si="45"/>
        <v>-3455.9769602538217</v>
      </c>
    </row>
    <row r="104" spans="1:11" ht="13.15" customHeight="1">
      <c r="A104" s="24" t="str">
        <f t="shared" ref="A104:A109" si="46">$A69</f>
        <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15" customHeight="1">
      <c r="A105" s="24" t="str">
        <f t="shared" si="46"/>
        <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15" customHeight="1">
      <c r="A106" s="24" t="str">
        <f t="shared" si="46"/>
        <v>DCR First Mortgage</v>
      </c>
      <c r="B106" s="27">
        <f>IF(OR(B95=0,AND(B95=0,B94=0,B93=0)),"",-B92/(B93+B94+B95))</f>
        <v>1.269447584557581</v>
      </c>
      <c r="C106" s="27">
        <f t="shared" ref="C106:K106" si="49">IF(OR(C95=0,AND(C95=0,C94=0,C93=0)),"",-C92/(C93+C94+C95))</f>
        <v>1.2428064027557206</v>
      </c>
      <c r="D106" s="27">
        <f t="shared" si="49"/>
        <v>1.2140645389061901</v>
      </c>
      <c r="E106" s="27">
        <f t="shared" si="49"/>
        <v>1.1831526901607163</v>
      </c>
      <c r="F106" s="27">
        <f t="shared" si="49"/>
        <v>1.1499519243498835</v>
      </c>
      <c r="G106" s="27">
        <f t="shared" si="49"/>
        <v>1.1143866321030644</v>
      </c>
      <c r="H106" s="27">
        <f t="shared" si="49"/>
        <v>1.0763468724196508</v>
      </c>
      <c r="I106" s="27">
        <f t="shared" si="49"/>
        <v>1.0357502992245626</v>
      </c>
      <c r="J106" s="27">
        <f t="shared" si="49"/>
        <v>0.99246449992585795</v>
      </c>
      <c r="K106" s="28">
        <f t="shared" si="49"/>
        <v>0.94639993350078</v>
      </c>
    </row>
    <row r="107" spans="1:11" ht="13.15" customHeight="1">
      <c r="A107" s="24" t="str">
        <f t="shared" si="46"/>
        <v>DCR Second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15"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15"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15" customHeight="1">
      <c r="A110" s="24" t="s">
        <v>1345</v>
      </c>
      <c r="B110" s="379">
        <f>IF(OR(B90="Choose mgt fee",B90="Choose One!"),"",(B84+B85+B86+B87+B88) / -(B89+B90+B91))</f>
        <v>1.2230756595778041</v>
      </c>
      <c r="C110" s="379">
        <f t="shared" ref="C110:K110" si="53">IF(OR(C90="Choose mgt fee",C90="Choose One!"),"",(C84+C85+C86+C87+C88) / -(C89+C90+C91))</f>
        <v>1.2122096541154901</v>
      </c>
      <c r="D110" s="379">
        <f t="shared" si="53"/>
        <v>1.2014299102395245</v>
      </c>
      <c r="E110" s="379">
        <f t="shared" si="53"/>
        <v>1.190739756136719</v>
      </c>
      <c r="F110" s="379">
        <f t="shared" si="53"/>
        <v>1.1801333714274476</v>
      </c>
      <c r="G110" s="379">
        <f t="shared" si="53"/>
        <v>1.1696139934183205</v>
      </c>
      <c r="H110" s="379">
        <f t="shared" si="53"/>
        <v>1.1591790187604507</v>
      </c>
      <c r="I110" s="379">
        <f t="shared" si="53"/>
        <v>1.1488312756500674</v>
      </c>
      <c r="J110" s="379">
        <f t="shared" si="53"/>
        <v>1.1385657189297842</v>
      </c>
      <c r="K110" s="380">
        <f t="shared" si="53"/>
        <v>1.128385087705261</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416858.15161135327</v>
      </c>
      <c r="C112" s="1285">
        <f>IF('Part III A-Sources of Funds'!$H$33="","",-FV('Part III A-Sources of Funds'!$J$33/12,12,C95/12,B112))</f>
        <v>383519.86835034465</v>
      </c>
      <c r="D112" s="1285">
        <f>IF('Part III A-Sources of Funds'!$H$33="","",-FV('Part III A-Sources of Funds'!$J$33/12,12,D95/12,C112))</f>
        <v>347504.08762004663</v>
      </c>
      <c r="E112" s="1285">
        <f>IF('Part III A-Sources of Funds'!$H$33="","",-FV('Part III A-Sources of Funds'!$J$33/12,12,E95/12,D112))</f>
        <v>308595.77157217154</v>
      </c>
      <c r="F112" s="1285">
        <f>IF('Part III A-Sources of Funds'!$H$33="","",-FV('Part III A-Sources of Funds'!$J$33/12,12,F95/12,E112))</f>
        <v>266562.61202420108</v>
      </c>
      <c r="G112" s="1285">
        <f>IF('Part III A-Sources of Funds'!$H$33="","",-FV('Part III A-Sources of Funds'!$J$33/12,12,G95/12,F112))</f>
        <v>221153.64342707192</v>
      </c>
      <c r="H112" s="1285">
        <f>IF('Part III A-Sources of Funds'!$H$33="","",-FV('Part III A-Sources of Funds'!$J$33/12,12,H95/12,G112))</f>
        <v>172097.74443613761</v>
      </c>
      <c r="I112" s="1285">
        <f>IF('Part III A-Sources of Funds'!$H$33="","",-FV('Part III A-Sources of Funds'!$J$33/12,12,I95/12,H112))</f>
        <v>119102.01913880305</v>
      </c>
      <c r="J112" s="1285">
        <f>IF('Part III A-Sources of Funds'!$H$33="","",-FV('Part III A-Sources of Funds'!$J$33/12,12,J95/12,I112))</f>
        <v>61850.048273697204</v>
      </c>
      <c r="K112" s="1285">
        <f>IF('Part III A-Sources of Funds'!$H$33="","",-FV('Part III A-Sources of Funds'!$J$33/12,12,K95/12,J112))</f>
        <v>1.5279510989785194E-8</v>
      </c>
    </row>
    <row r="113" spans="1:11" ht="13.1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1364</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1364</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1899</v>
      </c>
      <c r="B116" s="1287">
        <f>IF('Part III A-Sources of Funds'!$H$37="","",-FV('Part III A-Sources of Funds'!$J$37/12,12,B101/12,K81))</f>
        <v>-4</v>
      </c>
      <c r="C116" s="1287">
        <f>IF('Part III A-Sources of Funds'!$H$37="","",-FV('Part III A-Sources of Funds'!$J$37/12,12,C101/12,B116))</f>
        <v>-4</v>
      </c>
      <c r="D116" s="1287">
        <f>IF('Part III A-Sources of Funds'!$H$37="","",-FV('Part III A-Sources of Funds'!$J$37/12,12,D101/12,C116))</f>
        <v>-4</v>
      </c>
      <c r="E116" s="1287">
        <f>IF('Part III A-Sources of Funds'!$H$37="","",-FV('Part III A-Sources of Funds'!$J$37/12,12,E101/12,D116))</f>
        <v>-4</v>
      </c>
      <c r="F116" s="1287">
        <f>IF('Part III A-Sources of Funds'!$H$37="","",-FV('Part III A-Sources of Funds'!$J$37/12,12,F101/12,E116))</f>
        <v>-4</v>
      </c>
      <c r="G116" s="1287">
        <f>IF('Part III A-Sources of Funds'!$H$37="","",-FV('Part III A-Sources of Funds'!$J$37/12,12,G101/12,F116))</f>
        <v>-4</v>
      </c>
      <c r="H116" s="1287">
        <f>IF('Part III A-Sources of Funds'!$H$37="","",-FV('Part III A-Sources of Funds'!$J$37/12,12,H101/12,G116))</f>
        <v>-4</v>
      </c>
      <c r="I116" s="1287">
        <f>IF('Part III A-Sources of Funds'!$H$37="","",-FV('Part III A-Sources of Funds'!$J$37/12,12,I101/12,H116))</f>
        <v>-4</v>
      </c>
      <c r="J116" s="1287">
        <f>IF('Part III A-Sources of Funds'!$H$37="","",-FV('Part III A-Sources of Funds'!$J$37/12,12,J101/12,I116))</f>
        <v>-4</v>
      </c>
      <c r="K116" s="1287">
        <f>IF('Part III A-Sources of Funds'!$H$37="","",-FV('Part III A-Sources of Funds'!$J$37/12,12,K101/12,J116))</f>
        <v>-4</v>
      </c>
    </row>
    <row r="117" spans="1:11" ht="4.1500000000000004" customHeight="1">
      <c r="B117" s="20"/>
      <c r="C117" s="20"/>
      <c r="D117" s="20"/>
      <c r="E117" s="20"/>
      <c r="F117" s="20"/>
      <c r="G117" s="20"/>
      <c r="H117" s="20"/>
      <c r="I117" s="20"/>
      <c r="J117" s="20"/>
      <c r="K117" s="20"/>
    </row>
    <row r="118" spans="1:11" ht="14.45" customHeight="1">
      <c r="A118" s="16" t="s">
        <v>3752</v>
      </c>
      <c r="B118" s="18">
        <f>K83+1</f>
        <v>31</v>
      </c>
      <c r="C118" s="18">
        <f>B118+1</f>
        <v>32</v>
      </c>
      <c r="D118" s="18">
        <f>C118+1</f>
        <v>33</v>
      </c>
      <c r="E118" s="18">
        <f>D118+1</f>
        <v>34</v>
      </c>
      <c r="F118" s="18">
        <f>E118+1</f>
        <v>35</v>
      </c>
      <c r="G118" s="31"/>
      <c r="H118" s="31"/>
      <c r="I118" s="31"/>
      <c r="J118" s="31"/>
      <c r="K118" s="31"/>
    </row>
    <row r="119" spans="1:11" ht="13.15" customHeight="1">
      <c r="A119" s="21" t="s">
        <v>3641</v>
      </c>
      <c r="B119" s="22">
        <f>$B$14*(1+$B$5)^(B118-1)</f>
        <v>576686.81025415286</v>
      </c>
      <c r="C119" s="22">
        <f>$B$14*(1+$B$5)^(C118-1)</f>
        <v>588220.54645923572</v>
      </c>
      <c r="D119" s="22">
        <f>$B$14*(1+$B$5)^(D118-1)</f>
        <v>599984.95738842059</v>
      </c>
      <c r="E119" s="22">
        <f>$B$14*(1+$B$5)^(E118-1)</f>
        <v>611984.65653618902</v>
      </c>
      <c r="F119" s="23">
        <f>$B$14*(1+$B$5)^(F118-1)</f>
        <v>624224.34966691281</v>
      </c>
      <c r="G119" s="31"/>
      <c r="H119" s="31"/>
      <c r="I119" s="31"/>
      <c r="J119" s="31"/>
      <c r="K119" s="31"/>
    </row>
    <row r="120" spans="1:11" ht="13.15" customHeight="1">
      <c r="A120" s="24" t="s">
        <v>1632</v>
      </c>
      <c r="B120" s="25">
        <f>$B$15*(1+$B$5)^(B118-1)</f>
        <v>11533.736205083058</v>
      </c>
      <c r="C120" s="25">
        <f>$B$15*(1+$B$5)^(C118-1)</f>
        <v>11764.410929184716</v>
      </c>
      <c r="D120" s="25">
        <f>$B$15*(1+$B$5)^(D118-1)</f>
        <v>11999.699147768413</v>
      </c>
      <c r="E120" s="25">
        <f>$B$15*(1+$B$5)^(E118-1)</f>
        <v>12239.693130723783</v>
      </c>
      <c r="F120" s="26">
        <f>$B$15*(1+$B$5)^(F118-1)</f>
        <v>12484.486993338256</v>
      </c>
      <c r="G120" s="31"/>
      <c r="H120" s="31"/>
      <c r="I120" s="31"/>
      <c r="J120" s="31"/>
      <c r="K120" s="31"/>
    </row>
    <row r="121" spans="1:11" ht="13.15" customHeight="1">
      <c r="A121" s="24" t="s">
        <v>3642</v>
      </c>
      <c r="B121" s="25">
        <f>-(B119+B120)*$B$8</f>
        <v>-41175.438252146523</v>
      </c>
      <c r="C121" s="25">
        <f>-(C119+C120)*$B$8</f>
        <v>-41998.947017189435</v>
      </c>
      <c r="D121" s="25">
        <f>-(D119+D120)*$B$8</f>
        <v>-42838.925957533233</v>
      </c>
      <c r="E121" s="25">
        <f>-(E119+E120)*$B$8</f>
        <v>-43695.704476683903</v>
      </c>
      <c r="F121" s="26">
        <f>-(F119+F120)*$B$8</f>
        <v>-44569.618566217578</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948</v>
      </c>
      <c r="B124" s="25">
        <f>$B$19*(1+$B$6)^(B118-1)</f>
        <v>-415935.69706306001</v>
      </c>
      <c r="C124" s="25">
        <f>$B$19*(1+$B$6)^(C118-1)</f>
        <v>-428413.76797495183</v>
      </c>
      <c r="D124" s="25">
        <f>$B$19*(1+$B$6)^(D118-1)</f>
        <v>-441266.18101420032</v>
      </c>
      <c r="E124" s="25">
        <f>$B$19*(1+$B$6)^(E118-1)</f>
        <v>-454504.16644462635</v>
      </c>
      <c r="F124" s="26">
        <f>$B$19*(1+$B$6)^(F118-1)</f>
        <v>-468139.29143796506</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-38293</v>
      </c>
      <c r="C125" s="25">
        <f>IF(AND('Part VII-Pro Forma'!$G$8="Yes",'Part VII-Pro Forma'!$G$9="Yes"),"Choose One!",IF('Part VII-Pro Forma'!$G$8="Yes",ROUND((-$K$8*(1+'Part VII-Pro Forma'!$B$6)^('Part VII-Pro Forma'!C118-1)),),IF('Part VII-Pro Forma'!$G$9="Yes",ROUND((-(SUM(C119:C122)*'Part VII-Pro Forma'!$K$9)),),"Choose mgt fee")))</f>
        <v>-39059</v>
      </c>
      <c r="D125" s="25">
        <f>IF(AND('Part VII-Pro Forma'!$G$8="Yes",'Part VII-Pro Forma'!$G$9="Yes"),"Choose One!",IF('Part VII-Pro Forma'!$G$8="Yes",ROUND((-$K$8*(1+'Part VII-Pro Forma'!$B$6)^('Part VII-Pro Forma'!D118-1)),),IF('Part VII-Pro Forma'!$G$9="Yes",ROUND((-(SUM(D119:D122)*'Part VII-Pro Forma'!$K$9)),),"Choose mgt fee")))</f>
        <v>-39840</v>
      </c>
      <c r="E125" s="25">
        <f>IF(AND('Part VII-Pro Forma'!$G$8="Yes",'Part VII-Pro Forma'!$G$9="Yes"),"Choose One!",IF('Part VII-Pro Forma'!$G$8="Yes",ROUND((-$K$8*(1+'Part VII-Pro Forma'!$B$6)^('Part VII-Pro Forma'!E118-1)),),IF('Part VII-Pro Forma'!$G$9="Yes",ROUND((-(SUM(E119:E122)*'Part VII-Pro Forma'!$K$9)),),"Choose mgt fee")))</f>
        <v>-40637</v>
      </c>
      <c r="F125" s="25">
        <f>IF(AND('Part VII-Pro Forma'!$G$8="Yes",'Part VII-Pro Forma'!$G$9="Yes"),"Choose One!",IF('Part VII-Pro Forma'!$G$8="Yes",ROUND((-$K$8*(1+'Part VII-Pro Forma'!$B$6)^('Part VII-Pro Forma'!F118-1)),),IF('Part VII-Pro Forma'!$G$9="Yes",ROUND((-(SUM(F119:F122)*'Part VII-Pro Forma'!$K$9)),),"Choose mgt fee")))</f>
        <v>-41450</v>
      </c>
      <c r="G125" s="31"/>
      <c r="H125" s="31"/>
      <c r="I125" s="31"/>
      <c r="J125" s="31"/>
      <c r="K125" s="31"/>
    </row>
    <row r="126" spans="1:11" ht="13.15" customHeight="1">
      <c r="A126" s="24" t="s">
        <v>1862</v>
      </c>
      <c r="B126" s="25">
        <f>$B$21*(1+$B$7)^(B118-1)</f>
        <v>-34952.57958513109</v>
      </c>
      <c r="C126" s="25">
        <f>$B$21*(1+$B$7)^(C118-1)</f>
        <v>-36001.156972685028</v>
      </c>
      <c r="D126" s="25">
        <f>$B$21*(1+$B$7)^(D118-1)</f>
        <v>-37081.191681865574</v>
      </c>
      <c r="E126" s="25">
        <f>$B$21*(1+$B$7)^(E118-1)</f>
        <v>-38193.62743232154</v>
      </c>
      <c r="F126" s="26">
        <f>$B$21*(1+$B$7)^(F118-1)</f>
        <v>-39339.436255291184</v>
      </c>
      <c r="G126" s="31"/>
      <c r="H126" s="31"/>
      <c r="I126" s="31"/>
      <c r="J126" s="31"/>
      <c r="K126" s="31"/>
    </row>
    <row r="127" spans="1:11" ht="13.15" customHeight="1">
      <c r="A127" s="24" t="s">
        <v>1863</v>
      </c>
      <c r="B127" s="25">
        <f>SUM(B119:B126)</f>
        <v>57863.831558898375</v>
      </c>
      <c r="C127" s="25">
        <f>SUM(C119:C126)</f>
        <v>54512.085423594152</v>
      </c>
      <c r="D127" s="25">
        <f>SUM(D119:D126)</f>
        <v>50958.357882589946</v>
      </c>
      <c r="E127" s="25">
        <f>SUM(E119:E126)</f>
        <v>47193.851313281055</v>
      </c>
      <c r="F127" s="26">
        <f>SUM(F119:F126)</f>
        <v>43210.490400777177</v>
      </c>
      <c r="G127" s="31"/>
      <c r="H127" s="31"/>
      <c r="I127" s="31"/>
      <c r="J127" s="31"/>
      <c r="K127" s="31"/>
    </row>
    <row r="128" spans="1:11" ht="13.15" customHeight="1">
      <c r="A128" s="24" t="str">
        <f t="shared" ref="A128:A133" si="54">$A93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4"/>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4"/>
        <v>D/S Mortgage A</v>
      </c>
      <c r="B130" s="1285">
        <f>IF('Part III A-Sources of Funds'!$M$33="", 0,-'Part III A-Sources of Funds'!$M$33)</f>
        <v>-64477.102100313889</v>
      </c>
      <c r="C130" s="1285">
        <f>IF('Part III A-Sources of Funds'!$M$33="", 0,-'Part III A-Sources of Funds'!$M$33)</f>
        <v>-64477.102100313889</v>
      </c>
      <c r="D130" s="1285">
        <f>IF('Part III A-Sources of Funds'!$M$33="", 0,-'Part III A-Sources of Funds'!$M$33)</f>
        <v>-64477.102100313889</v>
      </c>
      <c r="E130" s="1285">
        <f>IF('Part III A-Sources of Funds'!$M$33="", 0,-'Part III A-Sources of Funds'!$M$33)</f>
        <v>-64477.102100313889</v>
      </c>
      <c r="F130" s="1285">
        <f>IF('Part III A-Sources of Funds'!$M$33="", 0,-'Part III A-Sources of Funds'!$M$33)</f>
        <v>-64477.102100313889</v>
      </c>
      <c r="G130" s="31"/>
      <c r="H130" s="31"/>
      <c r="I130" s="31"/>
      <c r="J130" s="31"/>
      <c r="K130" s="31"/>
    </row>
    <row r="131" spans="1:12" ht="13.15" customHeight="1">
      <c r="A131" s="24" t="str">
        <f t="shared" si="54"/>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4"/>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4"/>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1336</v>
      </c>
      <c r="B134" s="1286"/>
      <c r="C134" s="1286"/>
      <c r="D134" s="1286"/>
      <c r="E134" s="1286"/>
      <c r="F134" s="1286"/>
      <c r="G134" s="31"/>
      <c r="H134" s="31"/>
      <c r="I134" s="31"/>
      <c r="J134" s="31"/>
      <c r="K134" s="31"/>
    </row>
    <row r="135" spans="1:12" ht="13.15" customHeight="1">
      <c r="A135" s="24" t="s">
        <v>1807</v>
      </c>
      <c r="B135" s="1285">
        <f>+K100</f>
        <v>0</v>
      </c>
      <c r="C135" s="1285">
        <f>+B135</f>
        <v>0</v>
      </c>
      <c r="D135" s="1285">
        <f>+C135</f>
        <v>0</v>
      </c>
      <c r="E135" s="1285">
        <f>+D135</f>
        <v>0</v>
      </c>
      <c r="F135" s="1285">
        <f>+E135</f>
        <v>0</v>
      </c>
      <c r="G135" s="31"/>
      <c r="H135" s="31"/>
      <c r="I135" s="31"/>
      <c r="J135" s="31"/>
      <c r="K135" s="31"/>
    </row>
    <row r="136" spans="1:12" ht="13.15" customHeight="1">
      <c r="A136" s="24" t="s">
        <v>1864</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1808</v>
      </c>
      <c r="B137" s="1287">
        <f>+K102</f>
        <v>0</v>
      </c>
      <c r="C137" s="1287">
        <f>+B137</f>
        <v>0</v>
      </c>
      <c r="D137" s="1287">
        <f>+C137</f>
        <v>0</v>
      </c>
      <c r="E137" s="1287">
        <f>+D137</f>
        <v>0</v>
      </c>
      <c r="F137" s="1287">
        <f>+E137</f>
        <v>0</v>
      </c>
      <c r="G137" s="31"/>
      <c r="H137" s="31"/>
      <c r="I137" s="31"/>
      <c r="J137" s="31"/>
      <c r="K137" s="31"/>
    </row>
    <row r="138" spans="1:12" ht="13.15" customHeight="1">
      <c r="A138" s="24" t="s">
        <v>1809</v>
      </c>
      <c r="B138" s="25">
        <f>SUM(B127:B137)</f>
        <v>-6613.2705414155134</v>
      </c>
      <c r="C138" s="25">
        <f>SUM(C127:C137)</f>
        <v>-9965.016676719737</v>
      </c>
      <c r="D138" s="25">
        <f>SUM(D127:D137)</f>
        <v>-13518.744217723943</v>
      </c>
      <c r="E138" s="25">
        <f>SUM(E127:E137)</f>
        <v>-17283.250787032834</v>
      </c>
      <c r="F138" s="26">
        <f>SUM(F127:F137)</f>
        <v>-21266.611699536712</v>
      </c>
      <c r="G138" s="31"/>
      <c r="H138" s="31"/>
      <c r="I138" s="31"/>
      <c r="J138" s="31"/>
      <c r="K138" s="31"/>
    </row>
    <row r="139" spans="1:12" ht="13.15" customHeight="1">
      <c r="A139" s="24" t="str">
        <f t="shared" ref="A139:A144" si="55">$A104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5"/>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5"/>
        <v>DCR First Mortgage</v>
      </c>
      <c r="B141" s="27">
        <f>IF(OR(B130=0,AND(B130=0,B129=0,B128=0)),"",-B127/(B128+B129+B130))</f>
        <v>0.89743226159378964</v>
      </c>
      <c r="C141" s="27">
        <f>IF(OR(C130=0,AND(C130=0,C129=0,C128=0)),"",-C127/(C128+C129+C130))</f>
        <v>0.84544875076401382</v>
      </c>
      <c r="D141" s="27">
        <f>IF(OR(D130=0,AND(D130=0,D129=0,D128=0)),"",-D127/(D128+D129+D130))</f>
        <v>0.79033263317741242</v>
      </c>
      <c r="E141" s="27">
        <f>IF(OR(E130=0,AND(E130=0,E129=0,E128=0)),"",-E127/(E128+E129+E130))</f>
        <v>0.73194746314523507</v>
      </c>
      <c r="F141" s="28">
        <f>IF(OR(F130=0,AND(F130=0,F129=0,F128=0)),"",-F127/(F128+F129+F130))</f>
        <v>0.67016799752492007</v>
      </c>
      <c r="G141" s="31"/>
      <c r="H141" s="31"/>
      <c r="I141" s="31"/>
      <c r="J141" s="31"/>
      <c r="K141" s="31"/>
    </row>
    <row r="142" spans="1:12" ht="13.15" customHeight="1">
      <c r="A142" s="24" t="str">
        <f t="shared" si="55"/>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1.1182870938057443</v>
      </c>
      <c r="C145" s="379">
        <f>IF(OR(C125="Choose mgt fee",C125="Choose One!"),"",(C119+C120+C121+C122+C123) / -(C124+C125+C126))</f>
        <v>1.1082719138419406</v>
      </c>
      <c r="D145" s="379">
        <f>IF(OR(D125="Choose mgt fee",D125="Choose One!"),"",(D119+D120+D121+D122+D123) / -(D124+D125+D126))</f>
        <v>1.0983396365246412</v>
      </c>
      <c r="E145" s="379">
        <f>IF(OR(E125="Choose mgt fee",E125="Choose One!"),"",(E119+E120+E121+E122+E123) / -(E124+E125+E126))</f>
        <v>1.0884882288856814</v>
      </c>
      <c r="F145" s="380">
        <f>IF(OR(F125="Choose mgt fee",F125="Choose One!"),"",(F119+F120+F121+F122+F123) / -(F124+F125+F126))</f>
        <v>1.0787178521014178</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-66817.411062916726</v>
      </c>
      <c r="C147" s="1285">
        <f>IF('Part III A-Sources of Funds'!$H$33="","",-FV('Part III A-Sources of Funds'!$J$33/12,12,C130/12,B147))</f>
        <v>-139001.12871172838</v>
      </c>
      <c r="D147" s="1285">
        <f>IF('Part III A-Sources of Funds'!$H$33="","",-FV('Part III A-Sources of Funds'!$J$33/12,12,D130/12,C147))</f>
        <v>-216982.13711529947</v>
      </c>
      <c r="E147" s="1285">
        <f>IF('Part III A-Sources of Funds'!$H$33="","",-FV('Part III A-Sources of Funds'!$J$33/12,12,E130/12,D147))</f>
        <v>-301226.03407310514</v>
      </c>
      <c r="F147" s="1285">
        <f>IF('Part III A-Sources of Funds'!$H$33="","",-FV('Part III A-Sources of Funds'!$J$33/12,12,F130/12,E147))</f>
        <v>-392235.81093965267</v>
      </c>
      <c r="G147" s="31"/>
      <c r="H147" s="31"/>
      <c r="I147" s="31"/>
      <c r="J147" s="31"/>
      <c r="K147" s="31"/>
    </row>
    <row r="148" spans="1:14" ht="13.1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1364</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1364</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1899</v>
      </c>
      <c r="B151" s="1287">
        <f>IF('Part III A-Sources of Funds'!$H$37="","",-FV('Part III A-Sources of Funds'!$J$37/12,12,B136/12,K116))</f>
        <v>-4</v>
      </c>
      <c r="C151" s="1287">
        <f>IF('Part III A-Sources of Funds'!$H$37="","",-FV('Part III A-Sources of Funds'!$J$37/12,12,C136/12,B151))</f>
        <v>-4</v>
      </c>
      <c r="D151" s="1287">
        <f>IF('Part III A-Sources of Funds'!$H$37="","",-FV('Part III A-Sources of Funds'!$J$37/12,12,D136/12,C151))</f>
        <v>-4</v>
      </c>
      <c r="E151" s="1287">
        <f>IF('Part III A-Sources of Funds'!$H$37="","",-FV('Part III A-Sources of Funds'!$J$37/12,12,E136/12,D151))</f>
        <v>-4</v>
      </c>
      <c r="F151" s="1287">
        <f>IF('Part III A-Sources of Funds'!$H$37="","",-FV('Part III A-Sources of Funds'!$J$37/12,12,F136/12,E151))</f>
        <v>-4</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74" zoomScale="120" zoomScaleNormal="90" zoomScaleSheetLayoutView="40" workbookViewId="0">
      <selection activeCell="A12" sqref="A12:Q12"/>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2011-030 Water Tower Park Apartments, Gray, Jones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1530</v>
      </c>
      <c r="P3" s="1035"/>
      <c r="Q3" s="302" t="s">
        <v>2888</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864</v>
      </c>
      <c r="P6" s="1027"/>
      <c r="Q6" s="1028"/>
    </row>
    <row r="7" spans="1:20" ht="12.6" customHeight="1">
      <c r="A7" s="174" t="s">
        <v>366</v>
      </c>
      <c r="C7" s="175"/>
      <c r="D7" s="175"/>
    </row>
    <row r="8" spans="1:20" ht="24.6" customHeight="1">
      <c r="A8" s="1029" t="s">
        <v>2118</v>
      </c>
      <c r="B8" s="1030"/>
      <c r="C8" s="1030"/>
      <c r="D8" s="1030"/>
      <c r="E8" s="1030"/>
      <c r="F8" s="1030"/>
      <c r="G8" s="1030"/>
      <c r="H8" s="1030"/>
      <c r="I8" s="1030"/>
      <c r="J8" s="1030"/>
      <c r="K8" s="1030"/>
      <c r="L8" s="1030"/>
      <c r="M8" s="1030"/>
      <c r="N8" s="1030"/>
      <c r="O8" s="1030"/>
      <c r="P8" s="1030"/>
      <c r="Q8" s="1031"/>
      <c r="R8" s="998" t="s">
        <v>3110</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2114</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2115</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2116</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2117</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2119</v>
      </c>
      <c r="B14" s="1000"/>
      <c r="C14" s="1000"/>
      <c r="D14" s="1000"/>
      <c r="E14" s="1000"/>
      <c r="F14" s="1000"/>
      <c r="G14" s="1000"/>
      <c r="H14" s="1000"/>
      <c r="I14" s="1000"/>
      <c r="J14" s="1000"/>
      <c r="K14" s="1000"/>
      <c r="L14" s="1000"/>
      <c r="M14" s="1000"/>
      <c r="N14" s="1000"/>
      <c r="O14" s="1000"/>
      <c r="P14" s="1000"/>
      <c r="Q14" s="1001"/>
    </row>
    <row r="15" spans="1:20" ht="24.6" customHeight="1">
      <c r="A15" s="999" t="s">
        <v>3097</v>
      </c>
      <c r="B15" s="1000"/>
      <c r="C15" s="1000"/>
      <c r="D15" s="1000"/>
      <c r="E15" s="1000"/>
      <c r="F15" s="1000"/>
      <c r="G15" s="1000"/>
      <c r="H15" s="1000"/>
      <c r="I15" s="1000"/>
      <c r="J15" s="1000"/>
      <c r="K15" s="1000"/>
      <c r="L15" s="1000"/>
      <c r="M15" s="1000"/>
      <c r="N15" s="1000"/>
      <c r="O15" s="1000"/>
      <c r="P15" s="1000"/>
      <c r="Q15" s="1001"/>
      <c r="R15" s="998" t="s">
        <v>3110</v>
      </c>
      <c r="S15" s="998"/>
    </row>
    <row r="16" spans="1:20" ht="24.6" customHeight="1">
      <c r="A16" s="999" t="s">
        <v>3098</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3099</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3100</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3101</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3102</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3103</v>
      </c>
      <c r="B21" s="1000"/>
      <c r="C21" s="1000"/>
      <c r="D21" s="1000"/>
      <c r="E21" s="1000"/>
      <c r="F21" s="1000"/>
      <c r="G21" s="1000"/>
      <c r="H21" s="1000"/>
      <c r="I21" s="1000"/>
      <c r="J21" s="1000"/>
      <c r="K21" s="1000"/>
      <c r="L21" s="1000"/>
      <c r="M21" s="1000"/>
      <c r="N21" s="1000"/>
      <c r="O21" s="1000"/>
      <c r="P21" s="1000"/>
      <c r="Q21" s="1001"/>
    </row>
    <row r="22" spans="1:19" ht="24.6" customHeight="1">
      <c r="A22" s="999" t="s">
        <v>3104</v>
      </c>
      <c r="B22" s="1000"/>
      <c r="C22" s="1000"/>
      <c r="D22" s="1000"/>
      <c r="E22" s="1000"/>
      <c r="F22" s="1000"/>
      <c r="G22" s="1000"/>
      <c r="H22" s="1000"/>
      <c r="I22" s="1000"/>
      <c r="J22" s="1000"/>
      <c r="K22" s="1000"/>
      <c r="L22" s="1000"/>
      <c r="M22" s="1000"/>
      <c r="N22" s="1000"/>
      <c r="O22" s="1000"/>
      <c r="P22" s="1000"/>
      <c r="Q22" s="1001"/>
      <c r="R22" s="998" t="s">
        <v>3110</v>
      </c>
      <c r="S22" s="998"/>
    </row>
    <row r="23" spans="1:19" ht="24.6" customHeight="1">
      <c r="A23" s="999" t="s">
        <v>3105</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3106</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3107</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3108</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3109</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2921</v>
      </c>
      <c r="P29" s="992"/>
      <c r="Q29" s="993"/>
    </row>
    <row r="30" spans="1:19" ht="3" customHeight="1"/>
    <row r="31" spans="1:19" ht="12" customHeight="1">
      <c r="B31" s="192" t="s">
        <v>3058</v>
      </c>
      <c r="C31" s="65" t="s">
        <v>1077</v>
      </c>
      <c r="E31" s="40"/>
      <c r="F31" s="40"/>
      <c r="G31" s="40"/>
      <c r="H31" s="40"/>
      <c r="I31" s="52"/>
      <c r="J31" s="42"/>
      <c r="K31" s="52"/>
      <c r="L31" s="42"/>
      <c r="M31" s="42"/>
      <c r="O31" s="83" t="s">
        <v>923</v>
      </c>
      <c r="P31" s="1166" t="s">
        <v>3919</v>
      </c>
      <c r="Q31" s="234"/>
    </row>
    <row r="32" spans="1:19" ht="12" customHeight="1">
      <c r="B32" s="57" t="s">
        <v>3061</v>
      </c>
      <c r="C32" s="65" t="s">
        <v>1078</v>
      </c>
      <c r="E32" s="40"/>
      <c r="F32" s="40"/>
      <c r="G32" s="40"/>
      <c r="H32" s="40"/>
      <c r="J32" s="1218" t="s">
        <v>3260</v>
      </c>
      <c r="K32" s="1219"/>
      <c r="L32" s="1219"/>
      <c r="M32" s="1219"/>
      <c r="N32" s="1220"/>
      <c r="O32" s="83"/>
      <c r="P32" s="83"/>
      <c r="Q32" s="83"/>
    </row>
    <row r="33" spans="1:31" ht="11.25" customHeight="1">
      <c r="B33" s="84" t="s">
        <v>2919</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8" t="s">
        <v>1932</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2920</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1932</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2084</v>
      </c>
      <c r="C45" s="5"/>
      <c r="D45" s="5"/>
      <c r="E45" s="740"/>
      <c r="F45" s="740"/>
      <c r="G45" s="740"/>
      <c r="H45" s="740"/>
      <c r="K45" s="740"/>
      <c r="L45" s="740"/>
      <c r="M45" s="740"/>
      <c r="O45" s="180" t="s">
        <v>2921</v>
      </c>
      <c r="P45" s="992"/>
      <c r="Q45" s="993"/>
    </row>
    <row r="46" spans="1:31" ht="3" customHeight="1"/>
    <row r="47" spans="1:31" ht="11.45" customHeight="1">
      <c r="A47" s="189"/>
      <c r="C47" s="190" t="s">
        <v>113</v>
      </c>
      <c r="D47" s="190"/>
      <c r="E47" s="190"/>
      <c r="F47" s="190"/>
      <c r="G47" s="190"/>
      <c r="H47" s="190"/>
      <c r="J47" s="1221" t="str">
        <f>'Part I-Project Information'!$H$65</f>
        <v>Family</v>
      </c>
      <c r="K47" s="1222"/>
      <c r="L47" s="1223"/>
      <c r="M47" s="740"/>
      <c r="N47" s="740"/>
      <c r="P47" s="1166" t="s">
        <v>3918</v>
      </c>
      <c r="Q47" s="234"/>
    </row>
    <row r="48" spans="1:31" ht="11.25" customHeight="1">
      <c r="B48" s="131" t="s">
        <v>2919</v>
      </c>
      <c r="D48" s="131"/>
      <c r="E48" s="131"/>
      <c r="F48" s="131"/>
      <c r="G48" s="131"/>
      <c r="H48" s="50"/>
      <c r="I48" s="179"/>
      <c r="J48" s="179"/>
      <c r="K48" s="187" t="s">
        <v>2920</v>
      </c>
      <c r="L48" s="737"/>
      <c r="M48" s="737"/>
      <c r="N48" s="737"/>
      <c r="O48" s="737"/>
      <c r="P48" s="737"/>
      <c r="Q48" s="63"/>
    </row>
    <row r="49" spans="1:31" ht="11.45" customHeight="1">
      <c r="A49" s="1159"/>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681</v>
      </c>
      <c r="C51" s="153"/>
      <c r="D51" s="740"/>
      <c r="E51" s="740"/>
      <c r="F51" s="740"/>
      <c r="G51" s="740"/>
      <c r="H51" s="740"/>
      <c r="I51" s="740"/>
      <c r="J51" s="740"/>
      <c r="K51" s="740"/>
      <c r="L51" s="740"/>
      <c r="M51" s="740"/>
      <c r="O51" s="180" t="s">
        <v>2921</v>
      </c>
      <c r="P51" s="992"/>
      <c r="Q51" s="993"/>
    </row>
    <row r="52" spans="1:31" ht="3" customHeight="1"/>
    <row r="53" spans="1:31" ht="12.6" customHeight="1">
      <c r="B53" s="192" t="s">
        <v>3058</v>
      </c>
      <c r="C53" s="1008" t="s">
        <v>399</v>
      </c>
      <c r="D53" s="1008"/>
      <c r="E53" s="1008"/>
      <c r="F53" s="1008"/>
      <c r="G53" s="1008"/>
      <c r="H53" s="1008"/>
      <c r="I53" s="1008"/>
      <c r="J53" s="1008"/>
      <c r="K53" s="1008"/>
      <c r="L53" s="1008"/>
      <c r="M53" s="1008"/>
      <c r="O53" s="193"/>
      <c r="P53" s="1166" t="s">
        <v>3980</v>
      </c>
      <c r="Q53" s="234"/>
    </row>
    <row r="54" spans="1:31" ht="12" customHeight="1">
      <c r="B54" s="57" t="s">
        <v>3061</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9"/>
      <c r="F55" s="739"/>
      <c r="G55" s="739"/>
      <c r="H55" s="42"/>
      <c r="I55" s="52"/>
      <c r="J55" s="52"/>
      <c r="K55" s="52"/>
      <c r="L55" s="42"/>
      <c r="M55" s="42"/>
      <c r="O55" s="83" t="s">
        <v>2764</v>
      </c>
      <c r="P55" s="1166" t="s">
        <v>3918</v>
      </c>
      <c r="Q55" s="234"/>
    </row>
    <row r="56" spans="1:31" ht="10.9" customHeight="1">
      <c r="A56" s="194"/>
      <c r="B56" s="52"/>
      <c r="C56" s="83" t="s">
        <v>2765</v>
      </c>
      <c r="D56" s="40" t="s">
        <v>2844</v>
      </c>
      <c r="E56" s="739"/>
      <c r="F56" s="739"/>
      <c r="G56" s="739"/>
      <c r="H56" s="42"/>
      <c r="I56" s="52"/>
      <c r="J56" s="52"/>
      <c r="O56" s="83" t="s">
        <v>2765</v>
      </c>
      <c r="P56" s="1166" t="s">
        <v>3919</v>
      </c>
      <c r="Q56" s="234"/>
    </row>
    <row r="57" spans="1:31" ht="10.9" customHeight="1">
      <c r="A57" s="194"/>
      <c r="B57" s="52"/>
      <c r="C57" s="83" t="s">
        <v>2766</v>
      </c>
      <c r="D57" s="40" t="s">
        <v>400</v>
      </c>
      <c r="E57" s="739"/>
      <c r="J57" s="83"/>
      <c r="K57" s="83" t="s">
        <v>2766</v>
      </c>
      <c r="L57" s="1224"/>
      <c r="M57" s="1225"/>
      <c r="N57" s="1225"/>
      <c r="O57" s="1225"/>
      <c r="P57" s="1226"/>
      <c r="Q57" s="234"/>
    </row>
    <row r="58" spans="1:31" ht="11.25" customHeight="1">
      <c r="B58" s="131" t="s">
        <v>2919</v>
      </c>
      <c r="D58" s="131"/>
      <c r="E58" s="131"/>
      <c r="F58" s="131"/>
      <c r="G58" s="131"/>
      <c r="H58" s="50"/>
      <c r="I58" s="179"/>
      <c r="J58" s="179"/>
      <c r="K58" s="179"/>
      <c r="L58" s="737"/>
      <c r="M58" s="737"/>
      <c r="N58" s="737"/>
      <c r="O58" s="737"/>
      <c r="P58" s="737"/>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2920</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3701</v>
      </c>
      <c r="C65" s="741"/>
      <c r="D65" s="740"/>
      <c r="E65" s="740"/>
      <c r="F65" s="740"/>
      <c r="G65" s="740"/>
      <c r="H65" s="740"/>
      <c r="I65" s="740"/>
      <c r="J65" s="740"/>
      <c r="K65" s="740"/>
      <c r="O65" s="180" t="s">
        <v>2921</v>
      </c>
      <c r="P65" s="992"/>
      <c r="Q65" s="993"/>
    </row>
    <row r="66" spans="1:31" ht="3" customHeight="1"/>
    <row r="67" spans="1:31" ht="12" customHeight="1">
      <c r="B67" s="57" t="s">
        <v>3058</v>
      </c>
      <c r="C67" s="195" t="s">
        <v>3728</v>
      </c>
      <c r="D67" s="182"/>
      <c r="E67" s="182"/>
      <c r="F67" s="182"/>
      <c r="G67" s="182"/>
      <c r="H67" s="182"/>
      <c r="I67" s="52"/>
      <c r="J67" s="52"/>
      <c r="K67" s="52"/>
      <c r="L67" s="62" t="s">
        <v>3058</v>
      </c>
      <c r="M67" s="1224" t="s">
        <v>3981</v>
      </c>
      <c r="N67" s="1225"/>
      <c r="O67" s="1225"/>
      <c r="P67" s="1227"/>
      <c r="Q67" s="234"/>
    </row>
    <row r="68" spans="1:31" ht="12" customHeight="1">
      <c r="B68" s="57" t="s">
        <v>3061</v>
      </c>
      <c r="C68" s="65" t="s">
        <v>3116</v>
      </c>
      <c r="D68" s="182"/>
      <c r="E68" s="182"/>
      <c r="F68" s="182"/>
      <c r="L68" s="62" t="s">
        <v>3061</v>
      </c>
      <c r="M68" s="1224" t="s">
        <v>3982</v>
      </c>
      <c r="N68" s="1225"/>
      <c r="O68" s="1225"/>
      <c r="P68" s="1227"/>
      <c r="Q68" s="234"/>
    </row>
    <row r="69" spans="1:31" ht="12" customHeight="1">
      <c r="B69" s="57" t="s">
        <v>1238</v>
      </c>
      <c r="C69" s="65" t="s">
        <v>3729</v>
      </c>
      <c r="D69" s="182"/>
      <c r="E69" s="182"/>
      <c r="F69" s="182"/>
      <c r="L69" s="62" t="s">
        <v>1238</v>
      </c>
      <c r="M69" s="1224" t="s">
        <v>3982</v>
      </c>
      <c r="N69" s="1225"/>
      <c r="O69" s="1225"/>
      <c r="P69" s="1227"/>
      <c r="Q69" s="351"/>
    </row>
    <row r="70" spans="1:31" ht="12" customHeight="1">
      <c r="B70" s="57" t="s">
        <v>3210</v>
      </c>
      <c r="C70" s="65" t="s">
        <v>3730</v>
      </c>
      <c r="D70" s="182"/>
      <c r="E70" s="182"/>
      <c r="F70" s="182"/>
      <c r="L70" s="62" t="s">
        <v>3210</v>
      </c>
      <c r="M70" s="1228">
        <v>0.13300000000000001</v>
      </c>
      <c r="N70" s="1225"/>
      <c r="O70" s="1225"/>
      <c r="P70" s="1227"/>
      <c r="Q70" s="234"/>
    </row>
    <row r="71" spans="1:31" ht="22.15" customHeight="1">
      <c r="B71" s="192" t="s">
        <v>2762</v>
      </c>
      <c r="C71" s="994" t="s">
        <v>3554</v>
      </c>
      <c r="D71" s="1039"/>
      <c r="E71" s="1039"/>
      <c r="F71" s="1039"/>
      <c r="G71" s="1039"/>
      <c r="H71" s="1039"/>
      <c r="I71" s="1039"/>
      <c r="J71" s="1039"/>
      <c r="K71" s="1039"/>
      <c r="L71" s="739"/>
      <c r="M71" s="739"/>
      <c r="O71" s="62" t="s">
        <v>2762</v>
      </c>
      <c r="P71" s="1166" t="s">
        <v>3919</v>
      </c>
      <c r="Q71" s="234"/>
    </row>
    <row r="72" spans="1:31" ht="12" customHeight="1">
      <c r="B72" s="57"/>
      <c r="C72" s="65"/>
      <c r="D72" s="709" t="s">
        <v>3591</v>
      </c>
      <c r="E72" s="40" t="s">
        <v>951</v>
      </c>
      <c r="F72" s="40"/>
      <c r="G72" s="65"/>
      <c r="H72" s="709" t="s">
        <v>3591</v>
      </c>
      <c r="I72" s="40" t="s">
        <v>951</v>
      </c>
      <c r="J72" s="40"/>
      <c r="K72" s="65"/>
      <c r="L72" s="709" t="s">
        <v>3591</v>
      </c>
      <c r="M72" s="40" t="s">
        <v>951</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2763</v>
      </c>
      <c r="C76" s="65" t="s">
        <v>1</v>
      </c>
      <c r="D76" s="182"/>
      <c r="E76" s="182"/>
      <c r="F76" s="182"/>
      <c r="G76" s="182"/>
      <c r="H76" s="182"/>
      <c r="I76" s="52"/>
      <c r="J76" s="52"/>
      <c r="K76" s="182"/>
      <c r="L76" s="739"/>
      <c r="M76" s="739"/>
      <c r="O76" s="62" t="s">
        <v>2763</v>
      </c>
      <c r="P76" s="1166" t="s">
        <v>3918</v>
      </c>
      <c r="Q76" s="234"/>
    </row>
    <row r="77" spans="1:31" ht="11.25" customHeight="1">
      <c r="B77" s="191" t="s">
        <v>2919</v>
      </c>
      <c r="D77" s="191"/>
      <c r="E77" s="191"/>
      <c r="F77" s="191"/>
      <c r="G77" s="191"/>
      <c r="H77" s="50"/>
      <c r="I77" s="179"/>
      <c r="J77" s="179"/>
      <c r="K77" s="179"/>
      <c r="L77" s="737"/>
      <c r="M77" s="737"/>
      <c r="N77" s="737"/>
      <c r="O77" s="737"/>
      <c r="P77" s="737"/>
      <c r="Q77" s="63"/>
    </row>
    <row r="78" spans="1:31" ht="22.9" customHeight="1">
      <c r="A78" s="1152" t="s">
        <v>4031</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2920</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2921</v>
      </c>
      <c r="P83" s="992"/>
      <c r="Q83" s="993"/>
    </row>
    <row r="84" spans="1:17" ht="3" customHeight="1"/>
    <row r="85" spans="1:17" ht="12" customHeight="1">
      <c r="B85" s="57" t="s">
        <v>3058</v>
      </c>
      <c r="C85" s="65" t="s">
        <v>729</v>
      </c>
      <c r="D85" s="65"/>
      <c r="E85" s="65"/>
      <c r="F85" s="65"/>
      <c r="G85" s="65"/>
      <c r="H85" s="65"/>
      <c r="I85" s="65"/>
      <c r="J85" s="65"/>
      <c r="K85" s="65"/>
      <c r="L85" s="65"/>
      <c r="M85" s="65"/>
      <c r="O85" s="62" t="s">
        <v>3058</v>
      </c>
      <c r="P85" s="1166" t="s">
        <v>3919</v>
      </c>
      <c r="Q85" s="234"/>
    </row>
    <row r="86" spans="1:17" ht="12" customHeight="1">
      <c r="B86" s="57" t="s">
        <v>3061</v>
      </c>
      <c r="C86" s="65" t="s">
        <v>2005</v>
      </c>
      <c r="D86" s="65"/>
      <c r="E86" s="65"/>
      <c r="F86" s="65"/>
      <c r="G86" s="65"/>
      <c r="H86" s="65"/>
      <c r="I86" s="65"/>
      <c r="J86" s="65"/>
      <c r="K86" s="65"/>
      <c r="L86" s="40"/>
      <c r="M86" s="40"/>
      <c r="O86" s="62" t="s">
        <v>3061</v>
      </c>
      <c r="P86" s="1166" t="s">
        <v>3919</v>
      </c>
      <c r="Q86" s="234"/>
    </row>
    <row r="87" spans="1:17" ht="12" customHeight="1">
      <c r="A87" s="181"/>
      <c r="B87" s="46"/>
      <c r="D87" s="49" t="s">
        <v>849</v>
      </c>
      <c r="E87" s="52"/>
      <c r="F87" s="52"/>
      <c r="G87" s="52"/>
      <c r="H87" s="52"/>
      <c r="I87" s="52"/>
      <c r="K87" s="49" t="s">
        <v>850</v>
      </c>
      <c r="M87" s="1232"/>
      <c r="N87" s="1233"/>
      <c r="O87" s="1233"/>
      <c r="P87" s="1234"/>
      <c r="Q87" s="234"/>
    </row>
    <row r="88" spans="1:17" ht="22.9" customHeight="1">
      <c r="A88" s="194"/>
      <c r="B88" s="179"/>
      <c r="C88" s="203" t="s">
        <v>2764</v>
      </c>
      <c r="D88" s="977" t="s">
        <v>678</v>
      </c>
      <c r="E88" s="1119"/>
      <c r="F88" s="1119"/>
      <c r="G88" s="1119"/>
      <c r="H88" s="1119"/>
      <c r="I88" s="1119"/>
      <c r="J88" s="1119"/>
      <c r="K88" s="1119"/>
      <c r="L88" s="1119"/>
      <c r="M88" s="1119"/>
      <c r="N88" s="1119"/>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3210</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t="s">
        <v>3918</v>
      </c>
      <c r="Q93" s="234"/>
    </row>
    <row r="94" spans="1:17" ht="12" customHeight="1">
      <c r="B94" s="57"/>
      <c r="C94" s="83" t="s">
        <v>2765</v>
      </c>
      <c r="D94" s="65" t="s">
        <v>2150</v>
      </c>
      <c r="E94" s="65"/>
      <c r="F94" s="65"/>
      <c r="G94" s="65"/>
      <c r="H94" s="65"/>
      <c r="I94" s="65"/>
      <c r="J94" s="65"/>
      <c r="K94" s="65"/>
      <c r="L94" s="40"/>
      <c r="M94" s="40"/>
      <c r="O94" s="83" t="s">
        <v>2765</v>
      </c>
      <c r="P94" s="1166" t="s">
        <v>3919</v>
      </c>
      <c r="Q94" s="234"/>
    </row>
    <row r="95" spans="1:17" ht="12" customHeight="1">
      <c r="B95" s="57"/>
      <c r="C95" s="83" t="s">
        <v>2766</v>
      </c>
      <c r="D95" s="65" t="s">
        <v>2151</v>
      </c>
      <c r="E95" s="65"/>
      <c r="F95" s="65"/>
      <c r="G95" s="65"/>
      <c r="H95" s="65"/>
      <c r="I95" s="65"/>
      <c r="J95" s="65"/>
      <c r="K95" s="65"/>
      <c r="L95" s="40"/>
      <c r="M95" s="40"/>
      <c r="O95" s="83" t="s">
        <v>2766</v>
      </c>
      <c r="P95" s="1166" t="s">
        <v>3919</v>
      </c>
      <c r="Q95" s="234"/>
    </row>
    <row r="96" spans="1:17" ht="11.25" customHeight="1">
      <c r="B96" s="191" t="s">
        <v>2919</v>
      </c>
      <c r="D96" s="191"/>
      <c r="E96" s="191"/>
      <c r="F96" s="191"/>
      <c r="G96" s="191"/>
      <c r="H96" s="50"/>
      <c r="I96" s="179"/>
      <c r="J96" s="179"/>
      <c r="K96" s="179"/>
      <c r="L96" s="737"/>
      <c r="M96" s="737"/>
      <c r="N96" s="737"/>
      <c r="O96" s="737"/>
      <c r="P96" s="737"/>
      <c r="Q96" s="63"/>
    </row>
    <row r="97" spans="1:31" ht="13.15" customHeight="1">
      <c r="A97" s="1152"/>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2920</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2921</v>
      </c>
      <c r="P103" s="992"/>
      <c r="Q103" s="993"/>
    </row>
    <row r="104" spans="1:31" ht="6.6" customHeight="1"/>
    <row r="105" spans="1:31" ht="12" customHeight="1">
      <c r="B105" s="57" t="s">
        <v>3058</v>
      </c>
      <c r="C105" s="65" t="s">
        <v>202</v>
      </c>
      <c r="D105" s="182"/>
      <c r="E105" s="182"/>
      <c r="F105" s="182"/>
      <c r="G105" s="182"/>
      <c r="H105" s="182"/>
      <c r="I105" s="52"/>
      <c r="J105" s="52"/>
      <c r="K105" s="52"/>
      <c r="L105" s="62" t="s">
        <v>3058</v>
      </c>
      <c r="M105" s="1224" t="s">
        <v>3983</v>
      </c>
      <c r="N105" s="1225"/>
      <c r="O105" s="1225"/>
      <c r="P105" s="1226"/>
      <c r="Q105" s="234"/>
    </row>
    <row r="106" spans="1:31" ht="12" customHeight="1">
      <c r="B106" s="57" t="s">
        <v>3061</v>
      </c>
      <c r="C106" s="65" t="s">
        <v>2291</v>
      </c>
      <c r="D106" s="182"/>
      <c r="E106" s="182"/>
      <c r="F106" s="182"/>
      <c r="G106" s="182"/>
      <c r="H106" s="182"/>
      <c r="I106" s="52"/>
      <c r="J106" s="52"/>
      <c r="K106" s="182"/>
      <c r="L106" s="182"/>
      <c r="M106" s="739"/>
      <c r="O106" s="62" t="s">
        <v>3061</v>
      </c>
      <c r="P106" s="1166" t="s">
        <v>3919</v>
      </c>
      <c r="Q106" s="351"/>
    </row>
    <row r="107" spans="1:31" ht="12" customHeight="1">
      <c r="B107" s="57" t="s">
        <v>1238</v>
      </c>
      <c r="C107" s="65" t="s">
        <v>205</v>
      </c>
      <c r="D107" s="182"/>
      <c r="E107" s="182"/>
      <c r="F107" s="182"/>
      <c r="G107" s="182"/>
      <c r="H107" s="182"/>
      <c r="I107" s="52"/>
      <c r="J107" s="52"/>
      <c r="K107" s="182"/>
      <c r="L107" s="739"/>
      <c r="M107" s="739"/>
      <c r="O107" s="62" t="s">
        <v>1238</v>
      </c>
      <c r="P107" s="1166" t="s">
        <v>3918</v>
      </c>
      <c r="Q107" s="234"/>
    </row>
    <row r="108" spans="1:31" ht="12" customHeight="1">
      <c r="B108" s="189"/>
      <c r="C108" s="65" t="s">
        <v>2841</v>
      </c>
      <c r="D108" s="52"/>
      <c r="E108" s="52"/>
      <c r="F108" s="52"/>
      <c r="G108" s="52"/>
      <c r="H108" s="65"/>
      <c r="I108" s="52"/>
      <c r="J108" s="52"/>
      <c r="K108" s="182"/>
      <c r="L108" s="739"/>
      <c r="M108" s="739"/>
      <c r="P108" s="1235">
        <v>61.29</v>
      </c>
      <c r="Q108" s="351"/>
    </row>
    <row r="109" spans="1:31" ht="12" customHeight="1">
      <c r="B109" s="189"/>
      <c r="C109" s="65" t="s">
        <v>2089</v>
      </c>
      <c r="D109" s="52"/>
      <c r="E109" s="52"/>
      <c r="F109" s="52"/>
      <c r="G109" s="52"/>
      <c r="H109" s="65"/>
      <c r="I109" s="52"/>
      <c r="J109" s="52"/>
      <c r="K109" s="182"/>
      <c r="L109" s="739"/>
      <c r="M109" s="739"/>
      <c r="N109" s="739"/>
      <c r="O109" s="739"/>
    </row>
    <row r="110" spans="1:31" ht="11.45" customHeight="1">
      <c r="B110" s="737"/>
      <c r="C110" s="1236" t="s">
        <v>3984</v>
      </c>
      <c r="D110" s="1237"/>
      <c r="E110" s="1237"/>
      <c r="F110" s="1237"/>
      <c r="G110" s="1237"/>
      <c r="H110" s="1237"/>
      <c r="I110" s="1237"/>
      <c r="J110" s="1237"/>
      <c r="K110" s="1237"/>
      <c r="L110" s="1237"/>
      <c r="M110" s="1237"/>
      <c r="N110" s="1237"/>
      <c r="O110" s="1238"/>
      <c r="P110" s="740"/>
      <c r="Q110" s="737"/>
    </row>
    <row r="111" spans="1:31" ht="12" customHeight="1">
      <c r="B111" s="57" t="s">
        <v>3210</v>
      </c>
      <c r="C111" s="65" t="s">
        <v>1944</v>
      </c>
      <c r="D111" s="182"/>
      <c r="E111" s="182"/>
      <c r="F111" s="182"/>
      <c r="G111" s="182"/>
      <c r="H111" s="182"/>
      <c r="I111" s="52"/>
      <c r="J111" s="52"/>
      <c r="K111" s="182"/>
      <c r="L111" s="739"/>
      <c r="M111" s="739"/>
      <c r="N111" s="739"/>
      <c r="O111" s="62" t="s">
        <v>3210</v>
      </c>
    </row>
    <row r="112" spans="1:31" ht="12" customHeight="1">
      <c r="B112" s="57"/>
      <c r="C112" s="83" t="s">
        <v>2764</v>
      </c>
      <c r="D112" s="65" t="s">
        <v>203</v>
      </c>
      <c r="E112" s="182"/>
      <c r="F112" s="182"/>
      <c r="G112" s="182"/>
      <c r="H112" s="182"/>
      <c r="I112" s="52"/>
      <c r="J112" s="52"/>
      <c r="K112" s="182"/>
      <c r="L112" s="739"/>
      <c r="M112" s="739"/>
      <c r="O112" s="83" t="s">
        <v>2764</v>
      </c>
      <c r="P112" s="1166" t="s">
        <v>3919</v>
      </c>
      <c r="Q112" s="234"/>
    </row>
    <row r="113" spans="1:17" ht="12" customHeight="1">
      <c r="B113" s="57"/>
      <c r="C113" s="83" t="s">
        <v>2765</v>
      </c>
      <c r="D113" s="65" t="s">
        <v>1945</v>
      </c>
      <c r="E113" s="182"/>
      <c r="F113" s="182"/>
      <c r="G113" s="182"/>
      <c r="H113" s="52"/>
      <c r="I113" s="52"/>
      <c r="J113" s="52"/>
      <c r="K113" s="182"/>
      <c r="L113" s="739"/>
      <c r="M113" s="739"/>
      <c r="O113" s="83" t="s">
        <v>2765</v>
      </c>
      <c r="P113" s="1235" t="s">
        <v>3919</v>
      </c>
      <c r="Q113" s="351"/>
    </row>
    <row r="114" spans="1:17" ht="12" customHeight="1">
      <c r="B114" s="57"/>
      <c r="C114" s="83"/>
      <c r="D114" s="65" t="s">
        <v>2968</v>
      </c>
      <c r="E114" s="52"/>
      <c r="F114" s="52"/>
      <c r="G114" s="52"/>
      <c r="H114" s="65"/>
      <c r="I114" s="52"/>
      <c r="J114" s="52"/>
      <c r="K114" s="182"/>
      <c r="L114" s="739"/>
      <c r="M114" s="739"/>
      <c r="O114" s="739"/>
      <c r="P114" s="1239"/>
      <c r="Q114" s="457"/>
    </row>
    <row r="115" spans="1:17" ht="12" customHeight="1">
      <c r="B115" s="57"/>
      <c r="C115" s="83"/>
      <c r="D115" s="65" t="s">
        <v>3661</v>
      </c>
      <c r="E115" s="52"/>
      <c r="F115" s="52"/>
      <c r="G115" s="52"/>
      <c r="H115" s="65"/>
      <c r="I115" s="52"/>
      <c r="J115" s="52"/>
      <c r="K115" s="182"/>
      <c r="L115" s="739"/>
      <c r="M115" s="739"/>
      <c r="O115" s="739"/>
      <c r="P115" s="1235"/>
      <c r="Q115" s="351"/>
    </row>
    <row r="116" spans="1:17" ht="12" customHeight="1">
      <c r="B116" s="57"/>
      <c r="C116" s="83"/>
      <c r="D116" s="65" t="s">
        <v>3242</v>
      </c>
      <c r="E116" s="52"/>
      <c r="F116" s="52"/>
      <c r="G116" s="52"/>
      <c r="H116" s="65"/>
      <c r="I116" s="52"/>
      <c r="J116" s="52"/>
      <c r="K116" s="182"/>
      <c r="L116" s="739"/>
      <c r="M116" s="739"/>
      <c r="O116" s="739"/>
      <c r="P116" s="1235"/>
      <c r="Q116" s="351"/>
    </row>
    <row r="117" spans="1:17" ht="12" customHeight="1">
      <c r="B117" s="57"/>
      <c r="C117" s="83" t="s">
        <v>2766</v>
      </c>
      <c r="D117" s="65" t="s">
        <v>1946</v>
      </c>
      <c r="E117" s="182"/>
      <c r="F117" s="182"/>
      <c r="G117" s="182"/>
      <c r="H117" s="65"/>
      <c r="I117" s="52"/>
      <c r="J117" s="52"/>
      <c r="K117" s="182"/>
      <c r="L117" s="739"/>
      <c r="M117" s="739"/>
      <c r="O117" s="83" t="s">
        <v>2766</v>
      </c>
      <c r="P117" s="1166" t="s">
        <v>3919</v>
      </c>
      <c r="Q117" s="234"/>
    </row>
    <row r="118" spans="1:17" ht="12" customHeight="1">
      <c r="B118" s="57"/>
      <c r="C118" s="83"/>
      <c r="D118" s="65" t="s">
        <v>1407</v>
      </c>
      <c r="E118" s="52"/>
      <c r="F118" s="52"/>
      <c r="G118" s="52"/>
      <c r="H118" s="65"/>
      <c r="I118" s="52"/>
      <c r="J118" s="52"/>
      <c r="K118" s="182"/>
      <c r="L118" s="739"/>
      <c r="M118" s="739"/>
      <c r="O118" s="739"/>
      <c r="P118" s="1240"/>
      <c r="Q118" s="352"/>
    </row>
    <row r="119" spans="1:17" ht="12" customHeight="1">
      <c r="B119" s="57"/>
      <c r="C119" s="83"/>
      <c r="D119" s="65" t="s">
        <v>3243</v>
      </c>
      <c r="E119" s="52"/>
      <c r="F119" s="52"/>
      <c r="G119" s="52"/>
      <c r="H119" s="65"/>
      <c r="I119" s="52"/>
      <c r="J119" s="52"/>
      <c r="K119" s="182"/>
      <c r="L119" s="739"/>
      <c r="M119" s="739"/>
      <c r="O119" s="739"/>
      <c r="P119" s="1235"/>
      <c r="Q119" s="351"/>
    </row>
    <row r="120" spans="1:17" ht="12" customHeight="1">
      <c r="B120" s="57"/>
      <c r="C120" s="83"/>
      <c r="D120" s="65" t="s">
        <v>3242</v>
      </c>
      <c r="E120" s="52"/>
      <c r="F120" s="52"/>
      <c r="G120" s="52"/>
      <c r="H120" s="65"/>
      <c r="I120" s="52"/>
      <c r="J120" s="52"/>
      <c r="K120" s="182"/>
      <c r="L120" s="739"/>
      <c r="M120" s="739"/>
      <c r="O120" s="739"/>
      <c r="P120" s="1235"/>
      <c r="Q120" s="351"/>
    </row>
    <row r="121" spans="1:17" ht="12" customHeight="1">
      <c r="B121" s="46"/>
      <c r="C121" s="83" t="s">
        <v>3569</v>
      </c>
      <c r="D121" s="65" t="s">
        <v>726</v>
      </c>
      <c r="E121" s="182"/>
      <c r="F121" s="182"/>
      <c r="G121" s="182"/>
      <c r="H121" s="182"/>
      <c r="I121" s="52"/>
      <c r="J121" s="52"/>
      <c r="K121" s="182"/>
      <c r="L121" s="739"/>
      <c r="M121" s="739"/>
      <c r="O121" s="83" t="s">
        <v>3569</v>
      </c>
      <c r="P121" s="1166" t="s">
        <v>3919</v>
      </c>
      <c r="Q121" s="234"/>
    </row>
    <row r="122" spans="1:17" ht="12" customHeight="1">
      <c r="B122" s="57" t="s">
        <v>2762</v>
      </c>
      <c r="C122" s="196" t="s">
        <v>3656</v>
      </c>
      <c r="D122" s="182"/>
      <c r="E122" s="182"/>
      <c r="F122" s="182"/>
      <c r="G122" s="182"/>
      <c r="H122" s="182"/>
      <c r="I122" s="52"/>
      <c r="J122" s="52"/>
      <c r="K122" s="182"/>
      <c r="L122" s="739"/>
      <c r="M122" s="739"/>
      <c r="N122" s="739"/>
      <c r="O122" s="62" t="s">
        <v>2762</v>
      </c>
      <c r="P122" s="1166" t="s">
        <v>3919</v>
      </c>
      <c r="Q122" s="234"/>
    </row>
    <row r="123" spans="1:17" ht="12" customHeight="1">
      <c r="B123" s="57"/>
      <c r="C123" s="83" t="s">
        <v>2764</v>
      </c>
      <c r="D123" s="65" t="s">
        <v>3657</v>
      </c>
      <c r="E123" s="182"/>
      <c r="F123" s="1166"/>
      <c r="G123" s="234"/>
      <c r="H123" s="83" t="s">
        <v>2766</v>
      </c>
      <c r="I123" s="65" t="s">
        <v>2305</v>
      </c>
      <c r="J123" s="1166"/>
      <c r="K123" s="234"/>
      <c r="L123" s="83" t="s">
        <v>2303</v>
      </c>
      <c r="M123" s="65" t="s">
        <v>3619</v>
      </c>
      <c r="N123" s="1166"/>
      <c r="O123" s="234"/>
    </row>
    <row r="124" spans="1:17" ht="12" customHeight="1">
      <c r="B124" s="46"/>
      <c r="C124" s="83" t="s">
        <v>2765</v>
      </c>
      <c r="D124" s="65" t="s">
        <v>3773</v>
      </c>
      <c r="E124" s="182"/>
      <c r="F124" s="1166"/>
      <c r="G124" s="234"/>
      <c r="H124" s="83" t="s">
        <v>3569</v>
      </c>
      <c r="I124" s="65" t="s">
        <v>2306</v>
      </c>
      <c r="J124" s="1166"/>
      <c r="K124" s="234"/>
      <c r="L124" s="83" t="s">
        <v>2304</v>
      </c>
      <c r="M124" s="65" t="s">
        <v>2307</v>
      </c>
      <c r="N124" s="1166"/>
      <c r="O124" s="234"/>
    </row>
    <row r="125" spans="1:17" ht="12" customHeight="1">
      <c r="B125" s="46"/>
      <c r="C125" s="83" t="s">
        <v>112</v>
      </c>
      <c r="D125" s="65" t="s">
        <v>53</v>
      </c>
      <c r="E125" s="182"/>
      <c r="F125" s="182"/>
      <c r="G125" s="182"/>
      <c r="H125" s="182"/>
      <c r="J125" s="1224"/>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9"/>
      <c r="O126" s="62" t="s">
        <v>2763</v>
      </c>
      <c r="P126" s="1166" t="s">
        <v>3919</v>
      </c>
      <c r="Q126" s="234"/>
    </row>
    <row r="127" spans="1:17" ht="12" customHeight="1">
      <c r="A127" s="194"/>
      <c r="B127" s="52"/>
      <c r="C127" s="83" t="s">
        <v>2764</v>
      </c>
      <c r="D127" s="65" t="s">
        <v>1079</v>
      </c>
      <c r="E127" s="182"/>
      <c r="F127" s="182"/>
      <c r="G127" s="182"/>
      <c r="H127" s="182"/>
      <c r="O127" s="83" t="s">
        <v>2764</v>
      </c>
      <c r="P127" s="1166"/>
      <c r="Q127" s="234"/>
    </row>
    <row r="128" spans="1:17" ht="12" customHeight="1">
      <c r="A128" s="194"/>
      <c r="B128" s="179"/>
      <c r="C128" s="83" t="s">
        <v>2765</v>
      </c>
      <c r="D128" s="65" t="s">
        <v>725</v>
      </c>
      <c r="E128" s="65"/>
      <c r="F128" s="65"/>
      <c r="G128" s="65"/>
      <c r="H128" s="65"/>
      <c r="I128" s="52"/>
      <c r="J128" s="52"/>
      <c r="K128" s="65"/>
      <c r="L128" s="65"/>
      <c r="M128" s="65"/>
      <c r="O128" s="83" t="s">
        <v>2765</v>
      </c>
      <c r="P128" s="1166"/>
      <c r="Q128" s="234"/>
    </row>
    <row r="129" spans="1:31" ht="12" customHeight="1">
      <c r="A129" s="194"/>
      <c r="B129" s="179"/>
      <c r="C129" s="83" t="s">
        <v>2766</v>
      </c>
      <c r="D129" s="65" t="s">
        <v>1031</v>
      </c>
      <c r="E129" s="65"/>
      <c r="F129" s="65"/>
      <c r="G129" s="65"/>
      <c r="H129" s="65"/>
      <c r="I129" s="52"/>
      <c r="J129" s="52"/>
      <c r="K129" s="65"/>
      <c r="L129" s="65"/>
      <c r="M129" s="65"/>
      <c r="O129" s="83" t="s">
        <v>2766</v>
      </c>
      <c r="P129" s="1166"/>
      <c r="Q129" s="234"/>
    </row>
    <row r="130" spans="1:31" ht="12" customHeight="1">
      <c r="B130" s="57" t="s">
        <v>3018</v>
      </c>
      <c r="C130" s="65" t="s">
        <v>2781</v>
      </c>
      <c r="D130" s="182"/>
      <c r="E130" s="182"/>
      <c r="F130" s="182"/>
      <c r="G130" s="182"/>
      <c r="H130" s="182"/>
      <c r="I130" s="52"/>
      <c r="J130" s="52"/>
      <c r="K130" s="182"/>
      <c r="L130" s="182"/>
      <c r="M130" s="739"/>
      <c r="O130" s="62" t="s">
        <v>3018</v>
      </c>
      <c r="P130" s="1166"/>
      <c r="Q130" s="234"/>
    </row>
    <row r="131" spans="1:31" ht="4.9000000000000004" customHeight="1"/>
    <row r="132" spans="1:31" ht="11.25" customHeight="1">
      <c r="B132" s="191" t="s">
        <v>2919</v>
      </c>
      <c r="D132" s="191"/>
      <c r="E132" s="191"/>
      <c r="F132" s="191"/>
      <c r="G132" s="191"/>
      <c r="H132" s="50"/>
      <c r="I132" s="179"/>
      <c r="J132" s="179"/>
      <c r="K132" s="179"/>
      <c r="L132" s="737"/>
      <c r="M132" s="737"/>
      <c r="N132" s="737"/>
      <c r="O132" s="737"/>
      <c r="P132" s="737"/>
      <c r="Q132" s="63"/>
    </row>
    <row r="133" spans="1:31" ht="12" customHeight="1">
      <c r="A133" s="1152" t="s">
        <v>4010</v>
      </c>
      <c r="B133" s="1153"/>
      <c r="C133" s="1153"/>
      <c r="D133" s="1153"/>
      <c r="E133" s="1153"/>
      <c r="F133" s="1153"/>
      <c r="G133" s="1153"/>
      <c r="H133" s="1153"/>
      <c r="I133" s="1153"/>
      <c r="J133" s="1153"/>
      <c r="K133" s="1153"/>
      <c r="L133" s="1153"/>
      <c r="M133" s="1153"/>
      <c r="N133" s="1153"/>
      <c r="O133" s="1153"/>
      <c r="P133" s="1153"/>
      <c r="Q133" s="1154"/>
      <c r="R133" s="998" t="s">
        <v>1932</v>
      </c>
      <c r="S133" s="998"/>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998"/>
      <c r="S134" s="998"/>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2920</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1932</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1600</v>
      </c>
      <c r="C141" s="741"/>
      <c r="D141" s="740"/>
      <c r="E141" s="740"/>
      <c r="F141" s="740"/>
      <c r="G141" s="740"/>
      <c r="H141" s="740"/>
      <c r="I141" s="740"/>
      <c r="J141" s="740"/>
      <c r="K141" s="740"/>
      <c r="O141" s="180" t="s">
        <v>2921</v>
      </c>
      <c r="P141" s="992"/>
      <c r="Q141" s="993"/>
    </row>
    <row r="142" spans="1:31" ht="10.9" customHeight="1">
      <c r="B142" s="57" t="s">
        <v>3058</v>
      </c>
      <c r="C142" s="65" t="s">
        <v>3118</v>
      </c>
      <c r="D142" s="65"/>
      <c r="E142" s="65"/>
      <c r="F142" s="65"/>
      <c r="G142" s="65"/>
      <c r="H142" s="65"/>
      <c r="N142" s="65"/>
      <c r="O142" s="62" t="s">
        <v>3058</v>
      </c>
      <c r="P142" s="1166" t="s">
        <v>3918</v>
      </c>
      <c r="Q142" s="234"/>
    </row>
    <row r="143" spans="1:31" ht="12" customHeight="1">
      <c r="A143" s="189"/>
      <c r="B143" s="57" t="s">
        <v>3061</v>
      </c>
      <c r="C143" s="190" t="s">
        <v>204</v>
      </c>
      <c r="D143" s="190"/>
      <c r="E143" s="190"/>
      <c r="F143" s="190"/>
      <c r="G143" s="190"/>
      <c r="H143" s="190"/>
      <c r="M143" s="62" t="s">
        <v>3061</v>
      </c>
      <c r="N143" s="1241" t="s">
        <v>3985</v>
      </c>
      <c r="O143" s="1242"/>
      <c r="P143" s="1017"/>
      <c r="Q143" s="1018"/>
    </row>
    <row r="144" spans="1:31" ht="12" customHeight="1">
      <c r="A144" s="189"/>
      <c r="B144" s="57" t="s">
        <v>1238</v>
      </c>
      <c r="C144" s="190" t="s">
        <v>1032</v>
      </c>
      <c r="D144" s="190"/>
      <c r="E144" s="190"/>
      <c r="F144" s="190"/>
      <c r="G144" s="190"/>
      <c r="H144" s="190"/>
      <c r="J144" s="62" t="s">
        <v>1238</v>
      </c>
      <c r="K144" s="1243" t="s">
        <v>3986</v>
      </c>
      <c r="L144" s="1244"/>
      <c r="M144" s="1244"/>
      <c r="N144" s="1244"/>
      <c r="O144" s="1245"/>
      <c r="P144" s="1166" t="s">
        <v>3918</v>
      </c>
      <c r="Q144" s="234"/>
    </row>
    <row r="145" spans="1:31" ht="12" customHeight="1">
      <c r="B145" s="191" t="s">
        <v>2919</v>
      </c>
      <c r="D145" s="191"/>
      <c r="E145" s="191"/>
      <c r="F145" s="191"/>
      <c r="G145" s="191"/>
      <c r="H145" s="50"/>
      <c r="I145" s="179"/>
      <c r="J145" s="179"/>
      <c r="K145" s="179"/>
      <c r="L145" s="737"/>
      <c r="M145" s="737"/>
      <c r="N145" s="737"/>
      <c r="O145" s="737"/>
      <c r="P145" s="737"/>
      <c r="Q145" s="63"/>
    </row>
    <row r="146" spans="1:31" ht="11.45" customHeight="1">
      <c r="A146" s="1152" t="s">
        <v>4008</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2920</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682</v>
      </c>
      <c r="C152" s="741"/>
      <c r="D152" s="740"/>
      <c r="E152" s="740"/>
      <c r="F152" s="740"/>
      <c r="G152" s="740"/>
      <c r="H152" s="740"/>
      <c r="I152" s="740"/>
      <c r="J152" s="740"/>
      <c r="K152" s="740"/>
      <c r="L152" s="740"/>
      <c r="M152" s="740"/>
      <c r="O152" s="180" t="s">
        <v>2921</v>
      </c>
      <c r="P152" s="992"/>
      <c r="Q152" s="993"/>
    </row>
    <row r="153" spans="1:31" ht="12" customHeight="1">
      <c r="B153" s="192" t="s">
        <v>3058</v>
      </c>
      <c r="C153" s="190" t="s">
        <v>109</v>
      </c>
      <c r="D153" s="190"/>
      <c r="E153" s="190"/>
      <c r="F153" s="190"/>
      <c r="G153" s="190"/>
      <c r="H153" s="190"/>
      <c r="I153" s="190"/>
      <c r="J153" s="190"/>
      <c r="K153" s="190"/>
      <c r="L153" s="197"/>
      <c r="M153" s="197"/>
      <c r="N153" s="197"/>
      <c r="O153" s="221" t="s">
        <v>3058</v>
      </c>
      <c r="P153" s="1166" t="s">
        <v>3919</v>
      </c>
      <c r="Q153" s="234"/>
    </row>
    <row r="154" spans="1:31" ht="22.15" customHeight="1">
      <c r="B154" s="192" t="s">
        <v>3061</v>
      </c>
      <c r="C154" s="994" t="s">
        <v>3789</v>
      </c>
      <c r="D154" s="994"/>
      <c r="E154" s="994"/>
      <c r="F154" s="994"/>
      <c r="G154" s="994"/>
      <c r="H154" s="994"/>
      <c r="I154" s="994"/>
      <c r="J154" s="994"/>
      <c r="K154" s="994"/>
      <c r="L154" s="994"/>
      <c r="M154" s="994"/>
      <c r="N154" s="994"/>
      <c r="O154" s="221" t="s">
        <v>3061</v>
      </c>
      <c r="P154" s="1166" t="s">
        <v>3918</v>
      </c>
      <c r="Q154" s="234"/>
    </row>
    <row r="155" spans="1:31" ht="12" customHeight="1">
      <c r="B155" s="191" t="s">
        <v>2919</v>
      </c>
      <c r="D155" s="191"/>
      <c r="E155" s="191"/>
      <c r="F155" s="191"/>
      <c r="G155" s="191"/>
      <c r="H155" s="50"/>
      <c r="I155" s="179"/>
      <c r="J155" s="179"/>
      <c r="K155" s="179"/>
      <c r="L155" s="737"/>
      <c r="M155" s="737"/>
      <c r="N155" s="737"/>
      <c r="O155" s="737"/>
      <c r="P155" s="737"/>
      <c r="Q155" s="63"/>
    </row>
    <row r="156" spans="1:31" ht="11.45" customHeight="1">
      <c r="A156" s="1152" t="s">
        <v>4009</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2920</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2921</v>
      </c>
      <c r="P162" s="992"/>
      <c r="Q162" s="993"/>
    </row>
    <row r="163" spans="1:31" ht="12" customHeight="1">
      <c r="B163" s="192" t="s">
        <v>3058</v>
      </c>
      <c r="C163" s="197" t="s">
        <v>696</v>
      </c>
      <c r="D163" s="197"/>
      <c r="E163" s="197"/>
      <c r="F163" s="197"/>
      <c r="G163" s="197"/>
      <c r="H163" s="197"/>
      <c r="I163" s="197"/>
      <c r="J163" s="197"/>
      <c r="K163" s="197"/>
      <c r="L163" s="197"/>
      <c r="M163" s="197"/>
      <c r="O163" s="221" t="s">
        <v>3058</v>
      </c>
      <c r="P163" s="1166" t="s">
        <v>3918</v>
      </c>
      <c r="Q163" s="234"/>
    </row>
    <row r="164" spans="1:31" ht="12" customHeight="1">
      <c r="B164" s="192" t="s">
        <v>3061</v>
      </c>
      <c r="C164" s="190" t="s">
        <v>721</v>
      </c>
      <c r="D164" s="190"/>
      <c r="E164" s="190"/>
      <c r="F164" s="190"/>
      <c r="G164" s="190"/>
      <c r="H164" s="190"/>
      <c r="I164" s="190"/>
      <c r="J164" s="190"/>
      <c r="K164" s="190"/>
      <c r="L164" s="190"/>
      <c r="M164" s="190"/>
      <c r="O164" s="221" t="s">
        <v>3061</v>
      </c>
      <c r="P164" s="1166" t="s">
        <v>3918</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3918</v>
      </c>
      <c r="Q165" s="234"/>
    </row>
    <row r="166" spans="1:31" ht="12" customHeight="1">
      <c r="B166" s="192" t="s">
        <v>3210</v>
      </c>
      <c r="C166" s="197" t="s">
        <v>929</v>
      </c>
      <c r="D166" s="197"/>
      <c r="E166" s="197"/>
      <c r="F166" s="197"/>
      <c r="G166" s="197"/>
      <c r="H166" s="197"/>
      <c r="I166" s="197"/>
      <c r="J166" s="197"/>
      <c r="K166" s="197"/>
      <c r="L166" s="197"/>
      <c r="M166" s="197"/>
      <c r="O166" s="221" t="s">
        <v>3210</v>
      </c>
      <c r="P166" s="1166" t="s">
        <v>3918</v>
      </c>
      <c r="Q166" s="234"/>
    </row>
    <row r="167" spans="1:31" ht="12" customHeight="1">
      <c r="B167" s="192" t="s">
        <v>2762</v>
      </c>
      <c r="C167" s="197" t="s">
        <v>3592</v>
      </c>
      <c r="D167" s="197"/>
      <c r="E167" s="197"/>
      <c r="F167" s="197"/>
      <c r="G167" s="197"/>
      <c r="H167" s="197"/>
      <c r="I167" s="197"/>
      <c r="J167" s="197"/>
      <c r="K167" s="197"/>
      <c r="L167" s="197"/>
      <c r="M167" s="197"/>
      <c r="O167" s="221" t="s">
        <v>2762</v>
      </c>
      <c r="P167" s="1166" t="s">
        <v>3918</v>
      </c>
      <c r="Q167" s="234"/>
    </row>
    <row r="168" spans="1:31" ht="12" customHeight="1">
      <c r="B168" s="191" t="s">
        <v>2919</v>
      </c>
      <c r="D168" s="191"/>
      <c r="E168" s="191"/>
      <c r="F168" s="191"/>
      <c r="G168" s="191"/>
      <c r="H168" s="50"/>
      <c r="I168" s="179"/>
      <c r="J168" s="179"/>
      <c r="K168" s="179"/>
      <c r="L168" s="737"/>
      <c r="M168" s="737"/>
      <c r="N168" s="737"/>
      <c r="O168" s="737"/>
      <c r="P168" s="737"/>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2920</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2921</v>
      </c>
      <c r="P175" s="992"/>
      <c r="Q175" s="993"/>
    </row>
    <row r="176" spans="1:31" ht="12" customHeight="1">
      <c r="A176" s="189"/>
      <c r="B176" s="57" t="s">
        <v>3058</v>
      </c>
      <c r="C176" s="994" t="s">
        <v>110</v>
      </c>
      <c r="D176" s="994"/>
      <c r="E176" s="994"/>
      <c r="F176" s="994"/>
      <c r="G176" s="994"/>
      <c r="H176" s="83" t="s">
        <v>2764</v>
      </c>
      <c r="I176" s="65" t="s">
        <v>206</v>
      </c>
      <c r="J176" s="1224"/>
      <c r="K176" s="1225"/>
      <c r="L176" s="1225"/>
      <c r="M176" s="1225"/>
      <c r="N176" s="1226"/>
      <c r="O176" s="83" t="s">
        <v>2764</v>
      </c>
      <c r="P176" s="1166" t="s">
        <v>3919</v>
      </c>
      <c r="Q176" s="234"/>
    </row>
    <row r="177" spans="1:31" ht="12" customHeight="1">
      <c r="A177" s="189"/>
      <c r="B177" s="179"/>
      <c r="C177" s="141"/>
      <c r="D177" s="141"/>
      <c r="E177" s="141"/>
      <c r="F177" s="141"/>
      <c r="H177" s="83" t="s">
        <v>2765</v>
      </c>
      <c r="I177" s="65" t="s">
        <v>2357</v>
      </c>
      <c r="J177" s="1224" t="s">
        <v>3987</v>
      </c>
      <c r="K177" s="1225"/>
      <c r="L177" s="1225"/>
      <c r="M177" s="1225"/>
      <c r="N177" s="1226"/>
      <c r="O177" s="83" t="s">
        <v>2765</v>
      </c>
      <c r="P177" s="1166" t="s">
        <v>3918</v>
      </c>
      <c r="Q177" s="234"/>
    </row>
    <row r="178" spans="1:31" ht="12" customHeight="1">
      <c r="B178" s="191" t="s">
        <v>2919</v>
      </c>
      <c r="D178" s="191"/>
      <c r="E178" s="191"/>
      <c r="F178" s="191"/>
      <c r="G178" s="191"/>
      <c r="J178" s="179"/>
      <c r="K178" s="179"/>
      <c r="L178" s="737"/>
      <c r="M178" s="737"/>
      <c r="N178" s="737"/>
      <c r="O178" s="737"/>
      <c r="P178" s="737"/>
      <c r="Q178" s="63"/>
    </row>
    <row r="179" spans="1:31" ht="11.45" customHeight="1">
      <c r="A179" s="1159" t="s">
        <v>4011</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2920</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3700</v>
      </c>
      <c r="C183" s="5"/>
      <c r="D183" s="118"/>
      <c r="E183" s="118"/>
      <c r="F183" s="118"/>
      <c r="G183" s="740"/>
      <c r="H183" s="740"/>
      <c r="I183" s="740"/>
      <c r="J183" s="740"/>
      <c r="K183" s="740"/>
      <c r="L183" s="740"/>
      <c r="M183" s="740"/>
      <c r="O183" s="180" t="s">
        <v>2921</v>
      </c>
      <c r="P183" s="992"/>
      <c r="Q183" s="993"/>
    </row>
    <row r="184" spans="1:31" ht="4.1500000000000004" customHeight="1"/>
    <row r="185" spans="1:31" ht="11.45" customHeight="1">
      <c r="B185" s="192" t="s">
        <v>3058</v>
      </c>
      <c r="C185" s="667" t="s">
        <v>2764</v>
      </c>
      <c r="D185" s="666" t="s">
        <v>801</v>
      </c>
      <c r="E185" s="666"/>
      <c r="F185" s="666"/>
      <c r="G185" s="666"/>
      <c r="H185" s="666"/>
      <c r="I185" s="666"/>
      <c r="J185" s="666"/>
      <c r="K185" s="666"/>
      <c r="L185" s="666"/>
      <c r="M185" s="666"/>
      <c r="N185" s="666"/>
      <c r="O185" s="221" t="s">
        <v>2230</v>
      </c>
      <c r="P185" s="1166" t="s">
        <v>3919</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c r="Q186" s="234"/>
    </row>
    <row r="187" spans="1:31" ht="11.45" customHeight="1">
      <c r="A187" s="189"/>
      <c r="B187" s="192" t="s">
        <v>3061</v>
      </c>
      <c r="C187" s="994" t="s">
        <v>2901</v>
      </c>
      <c r="D187" s="994"/>
      <c r="E187" s="994"/>
      <c r="F187" s="994"/>
      <c r="G187" s="994"/>
      <c r="H187" s="83" t="s">
        <v>2764</v>
      </c>
      <c r="I187" s="65" t="s">
        <v>971</v>
      </c>
      <c r="J187" s="1224" t="s">
        <v>3988</v>
      </c>
      <c r="K187" s="1225"/>
      <c r="L187" s="1225"/>
      <c r="M187" s="1225"/>
      <c r="N187" s="1226"/>
      <c r="O187" s="83" t="s">
        <v>2170</v>
      </c>
      <c r="P187" s="1166" t="s">
        <v>3918</v>
      </c>
      <c r="Q187" s="234"/>
    </row>
    <row r="188" spans="1:31" ht="11.45" customHeight="1">
      <c r="A188" s="189"/>
      <c r="B188" s="744"/>
      <c r="C188" s="994"/>
      <c r="D188" s="994"/>
      <c r="E188" s="994"/>
      <c r="F188" s="994"/>
      <c r="G188" s="994"/>
      <c r="H188" s="83" t="s">
        <v>2765</v>
      </c>
      <c r="I188" s="65" t="s">
        <v>131</v>
      </c>
      <c r="J188" s="1224" t="s">
        <v>3988</v>
      </c>
      <c r="K188" s="1225"/>
      <c r="L188" s="1225"/>
      <c r="M188" s="1225"/>
      <c r="N188" s="1226"/>
      <c r="O188" s="83" t="s">
        <v>2765</v>
      </c>
      <c r="P188" s="1166" t="s">
        <v>3918</v>
      </c>
      <c r="Q188" s="234"/>
    </row>
    <row r="189" spans="1:31" ht="11.25" customHeight="1">
      <c r="B189" s="191" t="s">
        <v>2919</v>
      </c>
      <c r="D189" s="191"/>
      <c r="E189" s="191"/>
      <c r="F189" s="191"/>
      <c r="G189" s="191"/>
      <c r="H189" s="50"/>
      <c r="I189" s="179"/>
      <c r="J189" s="179"/>
      <c r="K189" s="179"/>
      <c r="L189" s="737"/>
      <c r="M189" s="737"/>
      <c r="N189" s="737"/>
      <c r="O189" s="737"/>
      <c r="P189" s="737"/>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2920</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2921</v>
      </c>
      <c r="P194" s="992"/>
      <c r="Q194" s="993"/>
    </row>
    <row r="195" spans="1:31" ht="10.9" customHeight="1">
      <c r="B195" s="195" t="s">
        <v>193</v>
      </c>
    </row>
    <row r="196" spans="1:31" ht="11.45" customHeight="1">
      <c r="B196" s="57" t="s">
        <v>3058</v>
      </c>
      <c r="C196" s="65" t="s">
        <v>197</v>
      </c>
      <c r="D196" s="52"/>
      <c r="E196" s="65"/>
      <c r="F196" s="65"/>
      <c r="G196" s="65"/>
      <c r="H196" s="65"/>
      <c r="I196" s="52"/>
      <c r="J196" s="52"/>
      <c r="K196" s="52"/>
      <c r="L196" s="197"/>
      <c r="M196" s="197"/>
      <c r="O196" s="221" t="s">
        <v>3058</v>
      </c>
      <c r="P196" s="1166" t="s">
        <v>3918</v>
      </c>
      <c r="Q196" s="234"/>
    </row>
    <row r="197" spans="1:31" ht="11.45" customHeight="1">
      <c r="B197" s="57" t="s">
        <v>3061</v>
      </c>
      <c r="C197" s="65" t="s">
        <v>194</v>
      </c>
      <c r="D197" s="65"/>
      <c r="E197" s="65"/>
      <c r="F197" s="65"/>
      <c r="G197" s="65"/>
      <c r="H197" s="65"/>
      <c r="I197" s="52"/>
      <c r="J197" s="52"/>
      <c r="K197" s="52"/>
      <c r="L197" s="190"/>
      <c r="M197" s="190"/>
      <c r="O197" s="221" t="s">
        <v>3061</v>
      </c>
      <c r="P197" s="1166" t="s">
        <v>3918</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3918</v>
      </c>
      <c r="Q198" s="234"/>
    </row>
    <row r="199" spans="1:31" s="200" customFormat="1" ht="11.45" customHeight="1">
      <c r="B199" s="57" t="s">
        <v>3210</v>
      </c>
      <c r="C199" s="65" t="s">
        <v>196</v>
      </c>
      <c r="D199" s="65"/>
      <c r="E199" s="65"/>
      <c r="F199" s="65"/>
      <c r="G199" s="65"/>
      <c r="H199" s="65"/>
      <c r="I199" s="129"/>
      <c r="J199" s="129"/>
      <c r="K199" s="129"/>
      <c r="L199" s="129"/>
      <c r="M199" s="129"/>
      <c r="O199" s="62" t="s">
        <v>3210</v>
      </c>
      <c r="P199" s="1166" t="s">
        <v>3918</v>
      </c>
      <c r="Q199" s="234"/>
    </row>
    <row r="200" spans="1:31" ht="11.25" customHeight="1">
      <c r="B200" s="191" t="s">
        <v>2919</v>
      </c>
      <c r="D200" s="191"/>
      <c r="E200" s="191"/>
      <c r="F200" s="191"/>
      <c r="G200" s="191"/>
      <c r="H200" s="50"/>
      <c r="I200" s="179"/>
      <c r="J200" s="179"/>
      <c r="K200" s="179"/>
      <c r="L200" s="737"/>
      <c r="M200" s="737"/>
      <c r="N200" s="737"/>
      <c r="O200" s="737"/>
      <c r="P200" s="737"/>
      <c r="Q200" s="63"/>
    </row>
    <row r="201" spans="1:31" ht="13.15" customHeight="1">
      <c r="A201" s="1152" t="s">
        <v>4012</v>
      </c>
      <c r="B201" s="1153"/>
      <c r="C201" s="1153"/>
      <c r="D201" s="1153"/>
      <c r="E201" s="1153"/>
      <c r="F201" s="1153"/>
      <c r="G201" s="1153"/>
      <c r="H201" s="1153"/>
      <c r="I201" s="1153"/>
      <c r="J201" s="1153"/>
      <c r="K201" s="1153"/>
      <c r="L201" s="1153"/>
      <c r="M201" s="1153"/>
      <c r="N201" s="1153"/>
      <c r="O201" s="1153"/>
      <c r="P201" s="1153"/>
      <c r="Q201" s="1154"/>
      <c r="R201" s="998" t="s">
        <v>1932</v>
      </c>
      <c r="S201" s="998"/>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2920</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680</v>
      </c>
      <c r="C208" s="153"/>
      <c r="D208" s="740"/>
      <c r="E208" s="740"/>
      <c r="F208" s="740"/>
      <c r="G208" s="740"/>
      <c r="H208" s="740"/>
      <c r="I208" s="740"/>
      <c r="J208" s="740"/>
      <c r="K208" s="740"/>
      <c r="L208" s="740"/>
      <c r="M208" s="740"/>
      <c r="O208" s="180" t="s">
        <v>2921</v>
      </c>
      <c r="P208" s="992"/>
      <c r="Q208" s="993"/>
    </row>
    <row r="209" spans="1:19" s="31" customFormat="1" ht="11.45" customHeight="1">
      <c r="B209" s="195" t="s">
        <v>1838</v>
      </c>
      <c r="N209" s="165"/>
      <c r="P209" s="1166" t="s">
        <v>3919</v>
      </c>
      <c r="Q209" s="234"/>
    </row>
    <row r="210" spans="1:19" ht="12" customHeight="1">
      <c r="B210" s="57" t="s">
        <v>3058</v>
      </c>
      <c r="C210" s="118" t="s">
        <v>2086</v>
      </c>
      <c r="D210" s="52"/>
      <c r="E210" s="52"/>
      <c r="F210" s="52"/>
      <c r="G210" s="52"/>
      <c r="H210" s="52"/>
      <c r="I210" s="52"/>
      <c r="J210" s="52"/>
      <c r="K210" s="52"/>
      <c r="L210" s="52"/>
      <c r="M210" s="52"/>
    </row>
    <row r="211" spans="1:19" ht="11.45" customHeight="1">
      <c r="B211" s="57"/>
      <c r="C211" s="83" t="s">
        <v>2764</v>
      </c>
      <c r="D211" s="65" t="s">
        <v>3001</v>
      </c>
      <c r="E211" s="65"/>
      <c r="F211" s="65"/>
      <c r="G211" s="65"/>
      <c r="H211" s="65"/>
      <c r="I211" s="52"/>
      <c r="J211" s="52"/>
      <c r="K211" s="52"/>
      <c r="L211" s="83" t="s">
        <v>2230</v>
      </c>
      <c r="M211" s="1224" t="s">
        <v>825</v>
      </c>
      <c r="N211" s="1225"/>
      <c r="O211" s="1226"/>
      <c r="P211" s="1166" t="s">
        <v>3980</v>
      </c>
      <c r="Q211" s="234"/>
    </row>
    <row r="212" spans="1:19" ht="11.45" customHeight="1">
      <c r="B212" s="57"/>
      <c r="C212" s="83" t="s">
        <v>2765</v>
      </c>
      <c r="D212" s="40" t="s">
        <v>198</v>
      </c>
      <c r="E212" s="40"/>
      <c r="F212" s="40"/>
      <c r="G212" s="40"/>
      <c r="H212" s="40"/>
      <c r="I212" s="52"/>
      <c r="J212" s="52"/>
      <c r="K212" s="52"/>
      <c r="L212" s="83" t="s">
        <v>2231</v>
      </c>
      <c r="M212" s="1224" t="s">
        <v>3989</v>
      </c>
      <c r="N212" s="1225"/>
      <c r="O212" s="1226"/>
      <c r="P212" s="1166" t="s">
        <v>3980</v>
      </c>
      <c r="Q212" s="234"/>
    </row>
    <row r="213" spans="1:19" ht="11.45" customHeight="1">
      <c r="B213" s="57"/>
      <c r="C213" s="83" t="s">
        <v>2766</v>
      </c>
      <c r="D213" s="40" t="s">
        <v>855</v>
      </c>
      <c r="E213" s="40"/>
      <c r="F213" s="40"/>
      <c r="G213" s="40"/>
      <c r="H213" s="40"/>
      <c r="I213" s="52"/>
      <c r="J213" s="52"/>
      <c r="K213" s="52"/>
      <c r="L213" s="83" t="s">
        <v>2232</v>
      </c>
      <c r="M213" s="1246" t="s">
        <v>3990</v>
      </c>
      <c r="N213" s="1247"/>
      <c r="O213" s="1248"/>
      <c r="P213" s="1166" t="s">
        <v>3980</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1166" t="s">
        <v>3980</v>
      </c>
      <c r="Q215" s="234"/>
    </row>
    <row r="216" spans="1:19" ht="10.9" customHeight="1">
      <c r="B216" s="57"/>
      <c r="C216" s="65" t="s">
        <v>3790</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3991</v>
      </c>
      <c r="E218" s="1153"/>
      <c r="F218" s="1153"/>
      <c r="G218" s="1153"/>
      <c r="H218" s="1154"/>
      <c r="I218" s="456"/>
      <c r="J218" s="294"/>
      <c r="K218" s="83" t="s">
        <v>2766</v>
      </c>
      <c r="L218" s="1152" t="s">
        <v>3992</v>
      </c>
      <c r="M218" s="1153"/>
      <c r="N218" s="1153"/>
      <c r="O218" s="1154"/>
      <c r="P218" s="354"/>
      <c r="Q218" s="294"/>
    </row>
    <row r="219" spans="1:19" s="53" customFormat="1" ht="11.45" customHeight="1">
      <c r="A219" s="129"/>
      <c r="B219" s="64"/>
      <c r="C219" s="83" t="s">
        <v>2765</v>
      </c>
      <c r="D219" s="1155" t="s">
        <v>3199</v>
      </c>
      <c r="E219" s="1156"/>
      <c r="F219" s="1156"/>
      <c r="G219" s="1156"/>
      <c r="H219" s="1157"/>
      <c r="I219" s="689"/>
      <c r="J219" s="295"/>
      <c r="K219" s="83" t="s">
        <v>3569</v>
      </c>
      <c r="L219" s="1155" t="s">
        <v>3993</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3980</v>
      </c>
      <c r="Q221" s="234"/>
    </row>
    <row r="222" spans="1:19" ht="11.45" customHeight="1">
      <c r="B222" s="57"/>
      <c r="C222" s="83" t="s">
        <v>2764</v>
      </c>
      <c r="D222" s="65" t="s">
        <v>207</v>
      </c>
      <c r="E222" s="65"/>
      <c r="F222" s="65"/>
      <c r="G222" s="65"/>
      <c r="H222" s="65"/>
      <c r="I222" s="52"/>
      <c r="J222" s="42"/>
      <c r="K222" s="52"/>
      <c r="L222" s="42"/>
      <c r="M222" s="42"/>
      <c r="O222" s="83" t="s">
        <v>2764</v>
      </c>
      <c r="P222" s="1166" t="s">
        <v>3918</v>
      </c>
      <c r="Q222" s="234"/>
    </row>
    <row r="223" spans="1:19" ht="11.45" customHeight="1">
      <c r="C223" s="83" t="s">
        <v>2765</v>
      </c>
      <c r="D223" s="40" t="s">
        <v>2647</v>
      </c>
      <c r="E223" s="40"/>
      <c r="F223" s="40"/>
      <c r="G223" s="40"/>
      <c r="H223" s="40"/>
      <c r="I223" s="52"/>
      <c r="J223" s="42"/>
      <c r="K223" s="52"/>
      <c r="L223" s="42"/>
      <c r="M223" s="42"/>
      <c r="O223" s="83" t="s">
        <v>2765</v>
      </c>
      <c r="P223" s="1166" t="s">
        <v>3918</v>
      </c>
      <c r="Q223" s="234"/>
    </row>
    <row r="224" spans="1:19" ht="11.45" customHeight="1">
      <c r="C224" s="83" t="s">
        <v>2766</v>
      </c>
      <c r="D224" s="40" t="s">
        <v>2256</v>
      </c>
      <c r="E224" s="40"/>
      <c r="F224" s="40"/>
      <c r="G224" s="40"/>
      <c r="H224" s="40"/>
      <c r="I224" s="52"/>
      <c r="J224" s="42"/>
      <c r="K224" s="52"/>
      <c r="L224" s="42"/>
      <c r="M224" s="42"/>
      <c r="O224" s="83" t="s">
        <v>2766</v>
      </c>
      <c r="P224" s="1166" t="s">
        <v>3918</v>
      </c>
      <c r="Q224" s="234"/>
    </row>
    <row r="225" spans="1:31" ht="11.45" customHeight="1">
      <c r="B225" s="57"/>
      <c r="C225" s="83" t="s">
        <v>3569</v>
      </c>
      <c r="D225" s="40" t="s">
        <v>208</v>
      </c>
      <c r="E225" s="40"/>
      <c r="F225" s="40"/>
      <c r="G225" s="40"/>
      <c r="H225" s="40"/>
      <c r="I225" s="52"/>
      <c r="J225" s="42"/>
      <c r="K225" s="52"/>
      <c r="L225" s="42"/>
      <c r="M225" s="42"/>
      <c r="O225" s="83" t="s">
        <v>3569</v>
      </c>
      <c r="P225" s="1166" t="s">
        <v>3918</v>
      </c>
      <c r="Q225" s="234"/>
    </row>
    <row r="226" spans="1:31" ht="11.45" customHeight="1">
      <c r="B226" s="57"/>
      <c r="C226" s="83" t="s">
        <v>2303</v>
      </c>
      <c r="D226" s="65" t="s">
        <v>1351</v>
      </c>
      <c r="E226" s="65"/>
      <c r="F226" s="65"/>
      <c r="G226" s="65"/>
      <c r="H226" s="65"/>
      <c r="I226" s="52"/>
      <c r="J226" s="42"/>
      <c r="K226" s="52"/>
      <c r="L226" s="42"/>
      <c r="M226" s="42"/>
      <c r="O226" s="83" t="s">
        <v>1352</v>
      </c>
      <c r="P226" s="1166" t="s">
        <v>3918</v>
      </c>
      <c r="Q226" s="234"/>
    </row>
    <row r="227" spans="1:31" ht="11.45" customHeight="1">
      <c r="B227" s="57"/>
      <c r="C227" s="83"/>
      <c r="D227" s="65" t="s">
        <v>2233</v>
      </c>
      <c r="E227" s="65"/>
      <c r="F227" s="65"/>
      <c r="G227" s="65"/>
      <c r="H227" s="65"/>
      <c r="I227" s="52"/>
      <c r="J227" s="42"/>
      <c r="K227" s="52"/>
      <c r="L227" s="42"/>
      <c r="M227" s="42"/>
      <c r="O227" s="83" t="s">
        <v>1353</v>
      </c>
      <c r="P227" s="1166"/>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2344</v>
      </c>
      <c r="D229" s="65"/>
      <c r="E229" s="65"/>
      <c r="F229" s="65"/>
      <c r="G229" s="65"/>
      <c r="H229" s="65"/>
      <c r="I229" s="65"/>
      <c r="J229" s="65"/>
      <c r="K229" s="52"/>
      <c r="L229" s="65"/>
      <c r="M229" s="65"/>
      <c r="O229" s="62" t="s">
        <v>3210</v>
      </c>
      <c r="P229" s="1166"/>
      <c r="Q229" s="234"/>
    </row>
    <row r="230" spans="1:31" ht="11.45" customHeight="1">
      <c r="B230" s="57"/>
      <c r="C230" s="83" t="s">
        <v>2764</v>
      </c>
      <c r="D230" s="49" t="s">
        <v>1933</v>
      </c>
      <c r="E230" s="52"/>
      <c r="F230" s="52"/>
      <c r="G230" s="49"/>
      <c r="H230" s="40"/>
      <c r="I230" s="52"/>
      <c r="J230" s="40"/>
      <c r="K230" s="52"/>
      <c r="L230" s="40"/>
      <c r="M230" s="40"/>
      <c r="O230" s="83" t="s">
        <v>2764</v>
      </c>
      <c r="P230" s="1166"/>
      <c r="Q230" s="234"/>
    </row>
    <row r="231" spans="1:31" ht="11.45" customHeight="1">
      <c r="B231" s="57"/>
      <c r="C231" s="83" t="s">
        <v>2765</v>
      </c>
      <c r="D231" s="49" t="s">
        <v>199</v>
      </c>
      <c r="E231" s="52"/>
      <c r="F231" s="52"/>
      <c r="G231" s="40"/>
      <c r="H231" s="40"/>
      <c r="I231" s="52"/>
      <c r="J231" s="40"/>
      <c r="K231" s="52"/>
      <c r="L231" s="40"/>
      <c r="M231" s="40"/>
      <c r="O231" s="83" t="s">
        <v>2765</v>
      </c>
      <c r="P231" s="1166"/>
      <c r="Q231" s="234"/>
    </row>
    <row r="232" spans="1:31" ht="11.45" customHeight="1">
      <c r="B232" s="57"/>
      <c r="C232" s="83" t="s">
        <v>2766</v>
      </c>
      <c r="D232" s="40" t="s">
        <v>2625</v>
      </c>
      <c r="E232" s="52"/>
      <c r="F232" s="52"/>
      <c r="G232" s="40"/>
      <c r="H232" s="40"/>
      <c r="I232" s="52"/>
      <c r="J232" s="40"/>
      <c r="K232" s="52"/>
      <c r="L232" s="40"/>
      <c r="M232" s="40"/>
      <c r="O232" s="83" t="s">
        <v>3579</v>
      </c>
      <c r="P232" s="1166"/>
      <c r="Q232" s="234"/>
    </row>
    <row r="233" spans="1:31" ht="11.45" customHeight="1">
      <c r="B233" s="46"/>
      <c r="C233" s="52"/>
      <c r="D233" s="40" t="s">
        <v>1984</v>
      </c>
      <c r="E233" s="52"/>
      <c r="F233" s="52"/>
      <c r="G233" s="40"/>
      <c r="H233" s="40"/>
      <c r="I233" s="52"/>
      <c r="J233" s="40"/>
      <c r="K233" s="52"/>
      <c r="L233" s="40"/>
      <c r="M233" s="40"/>
      <c r="O233" s="83" t="s">
        <v>3580</v>
      </c>
      <c r="P233" s="1166"/>
      <c r="Q233" s="234"/>
    </row>
    <row r="234" spans="1:31" ht="11.25" customHeight="1">
      <c r="B234" s="191" t="s">
        <v>2919</v>
      </c>
      <c r="D234" s="191"/>
      <c r="E234" s="191"/>
      <c r="F234" s="191"/>
      <c r="G234" s="191"/>
      <c r="H234" s="50"/>
      <c r="I234" s="179"/>
      <c r="J234" s="179"/>
      <c r="K234" s="179"/>
      <c r="L234" s="737"/>
      <c r="M234" s="737"/>
      <c r="N234" s="737"/>
      <c r="O234" s="737"/>
      <c r="P234" s="737"/>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998" t="s">
        <v>1932</v>
      </c>
      <c r="S235" s="998"/>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2920</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3119</v>
      </c>
      <c r="C241" s="5"/>
      <c r="D241" s="118"/>
      <c r="E241" s="118"/>
      <c r="F241" s="118"/>
      <c r="G241" s="118"/>
      <c r="H241" s="740"/>
      <c r="I241" s="740"/>
      <c r="J241" s="740"/>
      <c r="K241" s="740"/>
      <c r="L241" s="740"/>
      <c r="M241" s="740"/>
      <c r="O241" s="180" t="s">
        <v>2921</v>
      </c>
      <c r="P241" s="992"/>
      <c r="Q241" s="993"/>
    </row>
    <row r="242" spans="1:31" ht="4.9000000000000004" customHeight="1"/>
    <row r="243" spans="1:31" ht="11.45" customHeight="1">
      <c r="B243" s="57" t="s">
        <v>3058</v>
      </c>
      <c r="C243" s="65" t="s">
        <v>1952</v>
      </c>
      <c r="D243" s="52"/>
      <c r="E243" s="65"/>
      <c r="F243" s="65"/>
      <c r="G243" s="65"/>
      <c r="H243" s="65"/>
      <c r="I243" s="52"/>
      <c r="J243" s="52"/>
      <c r="K243" s="52"/>
      <c r="L243" s="62" t="s">
        <v>3058</v>
      </c>
      <c r="M243" s="1224" t="s">
        <v>2800</v>
      </c>
      <c r="N243" s="1225"/>
      <c r="O243" s="1226"/>
      <c r="P243" s="1019" t="s">
        <v>2800</v>
      </c>
      <c r="Q243" s="1020"/>
    </row>
    <row r="244" spans="1:31" ht="11.45" customHeight="1">
      <c r="B244" s="57" t="s">
        <v>3061</v>
      </c>
      <c r="C244" s="65" t="s">
        <v>1921</v>
      </c>
      <c r="D244" s="65"/>
      <c r="E244" s="65"/>
      <c r="F244" s="65"/>
      <c r="G244" s="65"/>
      <c r="H244" s="65"/>
      <c r="I244" s="52"/>
      <c r="J244" s="52"/>
      <c r="K244" s="52"/>
      <c r="L244" s="62" t="s">
        <v>3061</v>
      </c>
      <c r="M244" s="1249"/>
      <c r="N244" s="1250"/>
      <c r="O244" s="1251"/>
      <c r="P244" s="1021"/>
      <c r="Q244" s="1022"/>
    </row>
    <row r="245" spans="1:31" s="200" customFormat="1" ht="11.45" customHeight="1">
      <c r="B245" s="57" t="s">
        <v>1238</v>
      </c>
      <c r="C245" s="65" t="s">
        <v>3015</v>
      </c>
      <c r="D245" s="65"/>
      <c r="E245" s="65"/>
      <c r="F245" s="65"/>
      <c r="G245" s="65"/>
      <c r="H245" s="65"/>
      <c r="I245" s="129"/>
      <c r="J245" s="129"/>
      <c r="K245" s="129"/>
      <c r="L245" s="62" t="s">
        <v>1238</v>
      </c>
      <c r="M245" s="1224"/>
      <c r="N245" s="1225"/>
      <c r="O245" s="1226"/>
      <c r="P245" s="1019"/>
      <c r="Q245" s="1020"/>
    </row>
    <row r="246" spans="1:31" s="200" customFormat="1" ht="11.45" customHeight="1">
      <c r="B246" s="57" t="s">
        <v>3210</v>
      </c>
      <c r="C246" s="65" t="s">
        <v>3840</v>
      </c>
      <c r="D246" s="65"/>
      <c r="E246" s="65"/>
      <c r="F246" s="65"/>
      <c r="G246" s="65"/>
      <c r="H246" s="65"/>
      <c r="I246" s="129"/>
      <c r="J246" s="129"/>
      <c r="K246" s="129"/>
      <c r="L246" s="129"/>
      <c r="M246" s="129"/>
      <c r="O246" s="62" t="s">
        <v>3210</v>
      </c>
      <c r="P246" s="1166"/>
      <c r="Q246" s="234"/>
    </row>
    <row r="247" spans="1:31" s="200" customFormat="1" ht="22.15" customHeight="1">
      <c r="B247" s="192" t="s">
        <v>2762</v>
      </c>
      <c r="C247" s="1023" t="s">
        <v>1969</v>
      </c>
      <c r="D247" s="1023"/>
      <c r="E247" s="1023"/>
      <c r="F247" s="1023"/>
      <c r="G247" s="1023"/>
      <c r="H247" s="1023"/>
      <c r="I247" s="1023"/>
      <c r="J247" s="1023"/>
      <c r="K247" s="1023"/>
      <c r="L247" s="1023"/>
      <c r="M247" s="1023"/>
      <c r="O247" s="221" t="s">
        <v>2762</v>
      </c>
      <c r="P247" s="1166"/>
      <c r="Q247" s="234"/>
    </row>
    <row r="248" spans="1:31" ht="11.25" customHeight="1">
      <c r="B248" s="191" t="s">
        <v>2919</v>
      </c>
      <c r="D248" s="191"/>
      <c r="E248" s="191"/>
      <c r="F248" s="191"/>
      <c r="G248" s="191"/>
      <c r="H248" s="50"/>
      <c r="I248" s="179"/>
      <c r="J248" s="179"/>
      <c r="K248" s="179"/>
      <c r="L248" s="737"/>
      <c r="M248" s="737"/>
      <c r="N248" s="737"/>
      <c r="O248" s="737"/>
      <c r="P248" s="737"/>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998" t="s">
        <v>1932</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2920</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2818</v>
      </c>
      <c r="C255" s="5"/>
      <c r="D255" s="118"/>
      <c r="E255" s="118"/>
      <c r="F255" s="118"/>
      <c r="G255" s="118"/>
      <c r="H255" s="740"/>
      <c r="I255" s="740"/>
      <c r="J255" s="740"/>
      <c r="K255" s="740"/>
      <c r="L255" s="740"/>
      <c r="M255" s="740"/>
      <c r="O255" s="180" t="s">
        <v>2921</v>
      </c>
      <c r="P255" s="992"/>
      <c r="Q255" s="993"/>
    </row>
    <row r="256" spans="1:31" ht="3" customHeight="1"/>
    <row r="257" spans="1:31" s="200" customFormat="1" ht="11.45" customHeight="1">
      <c r="B257" s="57" t="s">
        <v>3058</v>
      </c>
      <c r="C257" s="40" t="s">
        <v>3123</v>
      </c>
      <c r="D257" s="40"/>
      <c r="E257" s="40"/>
      <c r="F257" s="40"/>
      <c r="G257" s="40"/>
      <c r="H257" s="40"/>
      <c r="I257" s="40"/>
      <c r="J257" s="40"/>
      <c r="K257" s="40"/>
      <c r="L257" s="40"/>
      <c r="M257" s="40"/>
      <c r="O257" s="62" t="s">
        <v>3058</v>
      </c>
      <c r="P257" s="1166" t="s">
        <v>3918</v>
      </c>
      <c r="Q257" s="234"/>
    </row>
    <row r="258" spans="1:31" s="200" customFormat="1" ht="11.45" customHeight="1">
      <c r="B258" s="57" t="s">
        <v>3061</v>
      </c>
      <c r="C258" s="65" t="s">
        <v>2113</v>
      </c>
      <c r="D258" s="65"/>
      <c r="E258" s="65"/>
      <c r="F258" s="65"/>
      <c r="G258" s="65"/>
      <c r="H258" s="65"/>
      <c r="I258" s="65"/>
      <c r="J258" s="65"/>
      <c r="K258" s="65"/>
      <c r="L258" s="65"/>
      <c r="M258" s="65"/>
      <c r="O258" s="62" t="s">
        <v>3061</v>
      </c>
      <c r="P258" s="1166" t="s">
        <v>3918</v>
      </c>
      <c r="Q258" s="234"/>
    </row>
    <row r="259" spans="1:31" ht="11.25" customHeight="1">
      <c r="B259" s="191" t="s">
        <v>2919</v>
      </c>
      <c r="D259" s="191"/>
      <c r="E259" s="191"/>
      <c r="F259" s="191"/>
      <c r="G259" s="191"/>
      <c r="H259" s="50"/>
      <c r="I259" s="179"/>
      <c r="J259" s="179"/>
      <c r="K259" s="179"/>
      <c r="L259" s="737"/>
      <c r="M259" s="737"/>
      <c r="N259" s="737"/>
      <c r="O259" s="737"/>
      <c r="P259" s="737"/>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998" t="s">
        <v>1932</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2920</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1089</v>
      </c>
      <c r="C266" s="741"/>
      <c r="D266" s="740"/>
      <c r="E266" s="740"/>
      <c r="F266" s="740"/>
      <c r="G266" s="740"/>
      <c r="H266" s="740"/>
      <c r="I266" s="740"/>
      <c r="J266" s="740"/>
      <c r="K266" s="740"/>
      <c r="L266" s="740"/>
      <c r="M266" s="740"/>
      <c r="O266" s="180" t="s">
        <v>2921</v>
      </c>
      <c r="P266" s="992"/>
      <c r="Q266" s="993"/>
    </row>
    <row r="267" spans="1:31" ht="3" customHeight="1"/>
    <row r="268" spans="1:31" s="705" customFormat="1" ht="24" customHeight="1">
      <c r="B268" s="192" t="s">
        <v>3058</v>
      </c>
      <c r="C268" s="994" t="s">
        <v>1207</v>
      </c>
      <c r="D268" s="1039"/>
      <c r="E268" s="1039"/>
      <c r="F268" s="1039"/>
      <c r="G268" s="1039"/>
      <c r="H268" s="1039"/>
      <c r="I268" s="1039"/>
      <c r="J268" s="1039"/>
      <c r="K268" s="1039"/>
      <c r="L268" s="1039"/>
      <c r="M268" s="1039"/>
      <c r="N268" s="1039"/>
      <c r="O268" s="221" t="s">
        <v>3058</v>
      </c>
      <c r="P268" s="1166" t="s">
        <v>3980</v>
      </c>
      <c r="Q268" s="234"/>
    </row>
    <row r="269" spans="1:31" s="705" customFormat="1" ht="24" customHeight="1">
      <c r="B269" s="192" t="s">
        <v>3061</v>
      </c>
      <c r="C269" s="994" t="s">
        <v>1208</v>
      </c>
      <c r="D269" s="1039"/>
      <c r="E269" s="1039"/>
      <c r="F269" s="1039"/>
      <c r="G269" s="1039"/>
      <c r="H269" s="1039"/>
      <c r="I269" s="1039"/>
      <c r="J269" s="1039"/>
      <c r="K269" s="1039"/>
      <c r="L269" s="1039"/>
      <c r="M269" s="1039"/>
      <c r="N269" s="1039"/>
      <c r="O269" s="221" t="s">
        <v>3061</v>
      </c>
      <c r="P269" s="1166" t="s">
        <v>3980</v>
      </c>
      <c r="Q269" s="234"/>
    </row>
    <row r="270" spans="1:31" s="705" customFormat="1" ht="33" customHeight="1">
      <c r="B270" s="192" t="s">
        <v>1238</v>
      </c>
      <c r="C270" s="994" t="s">
        <v>1209</v>
      </c>
      <c r="D270" s="1039"/>
      <c r="E270" s="1039"/>
      <c r="F270" s="1039"/>
      <c r="G270" s="1039"/>
      <c r="H270" s="1039"/>
      <c r="I270" s="1039"/>
      <c r="J270" s="1039"/>
      <c r="K270" s="1039"/>
      <c r="L270" s="1039"/>
      <c r="M270" s="1039"/>
      <c r="N270" s="1039"/>
      <c r="O270" s="221" t="s">
        <v>3061</v>
      </c>
      <c r="P270" s="1166"/>
      <c r="Q270" s="234"/>
    </row>
    <row r="271" spans="1:31" ht="11.25" customHeight="1">
      <c r="B271" s="191" t="s">
        <v>2919</v>
      </c>
      <c r="D271" s="191"/>
      <c r="E271" s="191"/>
      <c r="F271" s="191"/>
      <c r="G271" s="191"/>
      <c r="H271" s="50"/>
      <c r="I271" s="179"/>
      <c r="J271" s="179"/>
      <c r="K271" s="179"/>
      <c r="L271" s="737"/>
      <c r="M271" s="737"/>
      <c r="N271" s="737"/>
      <c r="O271" s="737"/>
      <c r="P271" s="737"/>
      <c r="Q271" s="63"/>
    </row>
    <row r="272" spans="1:31" ht="13.15" customHeight="1">
      <c r="A272" s="1152" t="s">
        <v>4013</v>
      </c>
      <c r="B272" s="1153"/>
      <c r="C272" s="1153"/>
      <c r="D272" s="1153"/>
      <c r="E272" s="1153"/>
      <c r="F272" s="1153"/>
      <c r="G272" s="1153"/>
      <c r="H272" s="1153"/>
      <c r="I272" s="1153"/>
      <c r="J272" s="1153"/>
      <c r="K272" s="1153"/>
      <c r="L272" s="1153"/>
      <c r="M272" s="1153"/>
      <c r="N272" s="1153"/>
      <c r="O272" s="1153"/>
      <c r="P272" s="1153"/>
      <c r="Q272" s="1154"/>
      <c r="R272" s="998" t="s">
        <v>1932</v>
      </c>
      <c r="S272" s="998"/>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2920</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877</v>
      </c>
      <c r="C278" s="201"/>
      <c r="D278" s="202"/>
      <c r="E278" s="740"/>
      <c r="F278" s="740"/>
      <c r="G278" s="740"/>
      <c r="H278" s="740"/>
      <c r="I278" s="740"/>
      <c r="J278" s="740"/>
      <c r="K278" s="740"/>
      <c r="L278" s="740"/>
      <c r="M278" s="740"/>
      <c r="O278" s="180" t="s">
        <v>2921</v>
      </c>
      <c r="P278" s="992"/>
      <c r="Q278" s="993"/>
    </row>
    <row r="279" spans="1:31" s="200" customFormat="1" ht="22.9" customHeight="1">
      <c r="B279" s="192" t="s">
        <v>3058</v>
      </c>
      <c r="C279" s="1023" t="s">
        <v>2942</v>
      </c>
      <c r="D279" s="1023"/>
      <c r="E279" s="1023"/>
      <c r="F279" s="1023"/>
      <c r="G279" s="1023"/>
      <c r="H279" s="1023"/>
      <c r="I279" s="1023"/>
      <c r="J279" s="1023"/>
      <c r="K279" s="1023"/>
      <c r="L279" s="1023"/>
      <c r="M279" s="1023"/>
      <c r="O279" s="221" t="s">
        <v>3058</v>
      </c>
      <c r="P279" s="1252" t="s">
        <v>3918</v>
      </c>
      <c r="Q279" s="234"/>
    </row>
    <row r="280" spans="1:31" s="200" customFormat="1" ht="12" customHeight="1">
      <c r="B280" s="57" t="s">
        <v>3061</v>
      </c>
      <c r="C280" s="40" t="s">
        <v>3117</v>
      </c>
      <c r="D280" s="40"/>
      <c r="E280" s="40"/>
      <c r="F280" s="40"/>
      <c r="G280" s="40"/>
      <c r="H280" s="40"/>
      <c r="I280" s="40"/>
      <c r="J280" s="40"/>
      <c r="K280" s="40"/>
      <c r="L280" s="40"/>
      <c r="M280" s="40"/>
      <c r="O280" s="62" t="s">
        <v>3061</v>
      </c>
      <c r="P280" s="1166" t="s">
        <v>3918</v>
      </c>
      <c r="Q280" s="234"/>
    </row>
    <row r="281" spans="1:31" s="200" customFormat="1" ht="22.9" customHeight="1">
      <c r="B281" s="192" t="s">
        <v>1238</v>
      </c>
      <c r="C281" s="994" t="s">
        <v>2886</v>
      </c>
      <c r="D281" s="1039"/>
      <c r="E281" s="1039"/>
      <c r="F281" s="1039"/>
      <c r="G281" s="1039"/>
      <c r="H281" s="1039"/>
      <c r="I281" s="1039"/>
      <c r="J281" s="1039"/>
      <c r="K281" s="1039"/>
      <c r="L281" s="1039"/>
      <c r="M281" s="1039"/>
      <c r="N281" s="1039"/>
      <c r="O281" s="62" t="s">
        <v>1238</v>
      </c>
      <c r="P281" s="1166" t="s">
        <v>3918</v>
      </c>
      <c r="Q281" s="234"/>
    </row>
    <row r="282" spans="1:31" s="200" customFormat="1" ht="12" customHeight="1">
      <c r="B282" s="57" t="s">
        <v>3210</v>
      </c>
      <c r="C282" s="40" t="s">
        <v>2887</v>
      </c>
      <c r="D282" s="40"/>
      <c r="E282" s="40"/>
      <c r="F282" s="40"/>
      <c r="G282" s="40"/>
      <c r="H282" s="40"/>
      <c r="I282" s="40"/>
      <c r="J282" s="40"/>
      <c r="K282" s="40"/>
      <c r="L282" s="40"/>
      <c r="M282" s="40"/>
      <c r="O282" s="62" t="s">
        <v>3210</v>
      </c>
      <c r="P282" s="1166" t="s">
        <v>3918</v>
      </c>
      <c r="Q282" s="234"/>
    </row>
    <row r="283" spans="1:31" s="200" customFormat="1" ht="22.9" customHeight="1">
      <c r="B283" s="192" t="s">
        <v>2762</v>
      </c>
      <c r="C283" s="994" t="s">
        <v>1080</v>
      </c>
      <c r="D283" s="1039"/>
      <c r="E283" s="1039"/>
      <c r="F283" s="1039"/>
      <c r="G283" s="1039"/>
      <c r="H283" s="1039"/>
      <c r="I283" s="1039"/>
      <c r="J283" s="1039"/>
      <c r="K283" s="1039"/>
      <c r="L283" s="1039"/>
      <c r="M283" s="1039"/>
      <c r="N283" s="1039"/>
      <c r="O283" s="62" t="s">
        <v>2762</v>
      </c>
      <c r="P283" s="1166" t="s">
        <v>3918</v>
      </c>
      <c r="Q283" s="234"/>
    </row>
    <row r="284" spans="1:31" ht="11.25" customHeight="1">
      <c r="B284" s="191" t="s">
        <v>2919</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998" t="s">
        <v>1932</v>
      </c>
      <c r="S285" s="998"/>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2920</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3323</v>
      </c>
      <c r="C290" s="1012"/>
      <c r="D290" s="1012"/>
      <c r="E290" s="1012"/>
      <c r="F290" s="1012"/>
      <c r="G290" s="1012"/>
      <c r="H290" s="740"/>
      <c r="I290" s="740"/>
      <c r="J290" s="740"/>
      <c r="K290" s="740"/>
      <c r="L290" s="740"/>
      <c r="M290" s="740"/>
      <c r="O290" s="180" t="s">
        <v>2921</v>
      </c>
      <c r="P290" s="992"/>
      <c r="Q290" s="993"/>
    </row>
    <row r="291" spans="1:256" ht="11.45" customHeight="1">
      <c r="B291" s="195" t="s">
        <v>3380</v>
      </c>
      <c r="P291" s="1166" t="s">
        <v>3919</v>
      </c>
      <c r="Q291" s="234"/>
    </row>
    <row r="292" spans="1:256" ht="12" customHeight="1">
      <c r="B292" s="197" t="s">
        <v>3324</v>
      </c>
      <c r="C292" s="197"/>
      <c r="D292" s="197"/>
      <c r="E292" s="197"/>
      <c r="F292" s="197"/>
      <c r="G292" s="197"/>
      <c r="H292" s="197"/>
      <c r="I292" s="197"/>
      <c r="J292" s="197"/>
      <c r="K292" s="197"/>
      <c r="L292" s="197"/>
      <c r="P292" s="1166" t="s">
        <v>3918</v>
      </c>
      <c r="Q292" s="234"/>
    </row>
    <row r="293" spans="1:256" ht="11.45" customHeight="1">
      <c r="B293" s="192" t="s">
        <v>3058</v>
      </c>
      <c r="C293" s="263" t="s">
        <v>673</v>
      </c>
      <c r="D293" s="40"/>
      <c r="E293" s="40"/>
      <c r="F293" s="40"/>
      <c r="G293" s="40"/>
      <c r="H293" s="40"/>
      <c r="I293" s="40"/>
      <c r="J293" s="40"/>
      <c r="K293" s="40"/>
      <c r="L293" s="40"/>
      <c r="M293" s="40"/>
      <c r="N293" s="221"/>
    </row>
    <row r="294" spans="1:256" ht="33.6" customHeight="1">
      <c r="A294" s="194"/>
      <c r="C294" s="1038" t="s">
        <v>1081</v>
      </c>
      <c r="D294" s="1038"/>
      <c r="E294" s="1038"/>
      <c r="F294" s="1038"/>
      <c r="G294" s="1038"/>
      <c r="H294" s="1038"/>
      <c r="I294" s="1038"/>
      <c r="J294" s="1038"/>
      <c r="K294" s="1038"/>
      <c r="L294" s="1038"/>
      <c r="M294" s="1038"/>
      <c r="N294" s="1038"/>
      <c r="O294" s="221" t="s">
        <v>3058</v>
      </c>
      <c r="P294" s="1252"/>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3061</v>
      </c>
      <c r="C296" s="1037" t="s">
        <v>674</v>
      </c>
      <c r="D296" s="1037"/>
      <c r="E296" s="1037"/>
      <c r="F296" s="1037"/>
      <c r="G296" s="1037"/>
      <c r="H296" s="1037"/>
      <c r="I296" s="1037"/>
      <c r="J296" s="1037"/>
      <c r="K296" s="1037"/>
      <c r="L296" s="1037"/>
      <c r="M296" s="1037"/>
      <c r="O296" s="221" t="s">
        <v>3061</v>
      </c>
      <c r="P296" s="1166" t="s">
        <v>3918</v>
      </c>
      <c r="Q296" s="234"/>
    </row>
    <row r="297" spans="1:256" ht="24" customHeight="1">
      <c r="A297" s="194"/>
      <c r="C297" s="296" t="s">
        <v>2764</v>
      </c>
      <c r="D297" s="297" t="s">
        <v>1766</v>
      </c>
      <c r="E297" s="181"/>
      <c r="F297" s="181"/>
      <c r="G297" s="1253" t="s">
        <v>2167</v>
      </c>
      <c r="H297" s="1254"/>
      <c r="I297" s="1254"/>
      <c r="J297" s="1254"/>
      <c r="K297" s="1254"/>
      <c r="L297" s="1254"/>
      <c r="M297" s="1254"/>
      <c r="N297" s="1255"/>
      <c r="O297" s="301" t="s">
        <v>2764</v>
      </c>
      <c r="P297" s="1252" t="s">
        <v>3918</v>
      </c>
      <c r="Q297" s="353"/>
    </row>
    <row r="298" spans="1:256" ht="12.6" customHeight="1">
      <c r="A298" s="194"/>
      <c r="C298" s="296" t="s">
        <v>2765</v>
      </c>
      <c r="D298" s="297" t="s">
        <v>1768</v>
      </c>
      <c r="E298" s="181"/>
      <c r="F298" s="181"/>
      <c r="G298" s="1152" t="s">
        <v>1772</v>
      </c>
      <c r="H298" s="1256"/>
      <c r="I298" s="1256"/>
      <c r="J298" s="1256"/>
      <c r="K298" s="1256"/>
      <c r="L298" s="1256"/>
      <c r="M298" s="1256"/>
      <c r="N298" s="1257"/>
      <c r="O298" s="301" t="s">
        <v>2765</v>
      </c>
      <c r="P298" s="1183" t="s">
        <v>3918</v>
      </c>
      <c r="Q298" s="354"/>
    </row>
    <row r="299" spans="1:256" ht="12.6" customHeight="1">
      <c r="A299" s="194"/>
      <c r="C299" s="296"/>
      <c r="D299" s="298"/>
      <c r="E299" s="181"/>
      <c r="F299" s="181"/>
      <c r="G299" s="1258" t="s">
        <v>3576</v>
      </c>
      <c r="H299" s="1259"/>
      <c r="I299" s="1259"/>
      <c r="J299" s="1259"/>
      <c r="K299" s="1259"/>
      <c r="L299" s="1259"/>
      <c r="M299" s="1259"/>
      <c r="N299" s="1260"/>
      <c r="O299" s="301"/>
      <c r="P299" s="1184" t="s">
        <v>3918</v>
      </c>
      <c r="Q299" s="355"/>
    </row>
    <row r="300" spans="1:256" ht="24" customHeight="1">
      <c r="A300" s="194"/>
      <c r="C300" s="296" t="s">
        <v>2766</v>
      </c>
      <c r="D300" s="1024" t="s">
        <v>1767</v>
      </c>
      <c r="E300" s="1039"/>
      <c r="F300" s="1040"/>
      <c r="G300" s="1159" t="s">
        <v>1712</v>
      </c>
      <c r="H300" s="1261"/>
      <c r="I300" s="1261"/>
      <c r="J300" s="1261"/>
      <c r="K300" s="1261"/>
      <c r="L300" s="1261"/>
      <c r="M300" s="1261"/>
      <c r="N300" s="1262"/>
      <c r="O300" s="301" t="s">
        <v>2766</v>
      </c>
      <c r="P300" s="1252" t="s">
        <v>3918</v>
      </c>
      <c r="Q300" s="353"/>
    </row>
    <row r="301" spans="1:256" ht="12.6" customHeight="1">
      <c r="A301" s="194"/>
      <c r="C301" s="296" t="s">
        <v>3569</v>
      </c>
      <c r="D301" s="1024" t="s">
        <v>1769</v>
      </c>
      <c r="E301" s="1024"/>
      <c r="F301" s="1025"/>
      <c r="G301" s="1263" t="s">
        <v>2277</v>
      </c>
      <c r="H301" s="1264"/>
      <c r="I301" s="1264"/>
      <c r="J301" s="1264"/>
      <c r="K301" s="1264"/>
      <c r="L301" s="1264"/>
      <c r="M301" s="1264"/>
      <c r="N301" s="1265"/>
      <c r="O301" s="301" t="s">
        <v>3569</v>
      </c>
      <c r="P301" s="1266" t="s">
        <v>3918</v>
      </c>
      <c r="Q301" s="356"/>
    </row>
    <row r="302" spans="1:256" ht="12.6" customHeight="1">
      <c r="A302" s="194"/>
      <c r="C302" s="296"/>
      <c r="D302" s="1024"/>
      <c r="E302" s="1024"/>
      <c r="F302" s="1025"/>
      <c r="G302" s="1155" t="s">
        <v>225</v>
      </c>
      <c r="H302" s="1267"/>
      <c r="I302" s="1267"/>
      <c r="J302" s="1267"/>
      <c r="K302" s="1267"/>
      <c r="L302" s="1267"/>
      <c r="M302" s="1267"/>
      <c r="N302" s="1268"/>
      <c r="P302" s="1269" t="s">
        <v>3918</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2919</v>
      </c>
      <c r="D304" s="191"/>
      <c r="E304" s="191"/>
      <c r="F304" s="191"/>
      <c r="G304" s="191"/>
      <c r="H304" s="50"/>
      <c r="I304" s="179"/>
      <c r="J304" s="179"/>
      <c r="K304" s="179"/>
      <c r="L304" s="737"/>
      <c r="M304" s="737"/>
      <c r="N304" s="737"/>
      <c r="O304" s="737"/>
      <c r="P304" s="737"/>
      <c r="Q304" s="63"/>
    </row>
    <row r="305" spans="1:31" ht="11.45" customHeight="1">
      <c r="A305" s="1152" t="s">
        <v>4013</v>
      </c>
      <c r="B305" s="1153"/>
      <c r="C305" s="1153"/>
      <c r="D305" s="1153"/>
      <c r="E305" s="1153"/>
      <c r="F305" s="1153"/>
      <c r="G305" s="1153"/>
      <c r="H305" s="1153"/>
      <c r="I305" s="1153"/>
      <c r="J305" s="1153"/>
      <c r="K305" s="1153"/>
      <c r="L305" s="1153"/>
      <c r="M305" s="1153"/>
      <c r="N305" s="1153"/>
      <c r="O305" s="1153"/>
      <c r="P305" s="1153"/>
      <c r="Q305" s="1154"/>
      <c r="R305" s="1016" t="s">
        <v>1932</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2920</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3120</v>
      </c>
      <c r="C311" s="741"/>
      <c r="D311" s="740"/>
      <c r="E311" s="740"/>
      <c r="F311" s="740"/>
      <c r="G311" s="740"/>
      <c r="H311" s="740"/>
      <c r="O311" s="180" t="s">
        <v>2921</v>
      </c>
      <c r="P311" s="992"/>
      <c r="Q311" s="993"/>
    </row>
    <row r="312" spans="1:31" ht="3" customHeight="1"/>
    <row r="313" spans="1:31" ht="11.45" customHeight="1">
      <c r="B313" s="195" t="s">
        <v>3512</v>
      </c>
      <c r="P313" s="1166" t="s">
        <v>3918</v>
      </c>
      <c r="Q313" s="234"/>
    </row>
    <row r="314" spans="1:31" ht="11.45" customHeight="1">
      <c r="B314" s="195" t="s">
        <v>3513</v>
      </c>
      <c r="P314" s="1166" t="s">
        <v>3919</v>
      </c>
      <c r="Q314" s="234"/>
    </row>
    <row r="315" spans="1:31" ht="11.45" customHeight="1">
      <c r="B315" s="195" t="s">
        <v>924</v>
      </c>
      <c r="L315" s="1270" t="s">
        <v>3994</v>
      </c>
      <c r="M315" s="1271"/>
      <c r="N315" s="1271"/>
      <c r="O315" s="1272"/>
      <c r="P315" s="1166" t="s">
        <v>3918</v>
      </c>
      <c r="Q315" s="234"/>
    </row>
    <row r="316" spans="1:31" ht="11.45" customHeight="1">
      <c r="B316" s="690" t="s">
        <v>3514</v>
      </c>
      <c r="L316" s="1041"/>
      <c r="M316" s="1042"/>
      <c r="N316" s="1042"/>
      <c r="O316" s="1043"/>
    </row>
    <row r="317" spans="1:31" ht="4.1500000000000004" customHeight="1">
      <c r="A317" s="189"/>
      <c r="C317" s="190"/>
    </row>
    <row r="318" spans="1:31" ht="11.25" customHeight="1">
      <c r="B318" s="191" t="s">
        <v>2919</v>
      </c>
      <c r="D318" s="191"/>
      <c r="E318" s="191"/>
      <c r="F318" s="191"/>
      <c r="G318" s="191"/>
      <c r="H318" s="50"/>
      <c r="I318" s="179"/>
      <c r="J318" s="179"/>
      <c r="K318" s="179"/>
      <c r="L318" s="737"/>
      <c r="M318" s="737"/>
      <c r="N318" s="737"/>
      <c r="O318" s="737"/>
      <c r="P318" s="737"/>
      <c r="Q318" s="63"/>
    </row>
    <row r="319" spans="1:31" ht="13.15" customHeight="1">
      <c r="A319" s="1152" t="s">
        <v>4015</v>
      </c>
      <c r="B319" s="1153"/>
      <c r="C319" s="1153"/>
      <c r="D319" s="1153"/>
      <c r="E319" s="1153"/>
      <c r="F319" s="1153"/>
      <c r="G319" s="1153"/>
      <c r="H319" s="1153"/>
      <c r="I319" s="1153"/>
      <c r="J319" s="1153"/>
      <c r="K319" s="1153"/>
      <c r="L319" s="1153"/>
      <c r="M319" s="1153"/>
      <c r="N319" s="1153"/>
      <c r="O319" s="1153"/>
      <c r="P319" s="1153"/>
      <c r="Q319" s="1154"/>
      <c r="R319" s="998" t="s">
        <v>1932</v>
      </c>
      <c r="S319" s="998"/>
      <c r="U319" s="185"/>
      <c r="V319" s="185"/>
      <c r="W319" s="185"/>
      <c r="X319" s="185"/>
      <c r="Y319" s="185"/>
      <c r="Z319" s="185"/>
      <c r="AA319" s="185"/>
      <c r="AB319" s="185"/>
      <c r="AC319" s="185"/>
      <c r="AD319" s="185"/>
      <c r="AE319" s="186"/>
    </row>
    <row r="320" spans="1:31" ht="13.15" customHeight="1">
      <c r="A320" s="1163" t="s">
        <v>4014</v>
      </c>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2920</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470</v>
      </c>
      <c r="C327" s="5"/>
      <c r="D327" s="118"/>
      <c r="E327" s="740"/>
      <c r="F327" s="740"/>
      <c r="G327" s="740"/>
      <c r="H327" s="740"/>
      <c r="I327" s="740"/>
      <c r="J327" s="740"/>
      <c r="K327" s="740"/>
      <c r="L327" s="740"/>
      <c r="M327" s="740"/>
      <c r="O327" s="180" t="s">
        <v>2921</v>
      </c>
      <c r="P327" s="992"/>
      <c r="Q327" s="993"/>
    </row>
    <row r="328" spans="1:31" ht="3" customHeight="1"/>
    <row r="329" spans="1:31" ht="22.15" customHeight="1">
      <c r="B329" s="192" t="s">
        <v>3058</v>
      </c>
      <c r="C329" s="994" t="s">
        <v>2543</v>
      </c>
      <c r="D329" s="994"/>
      <c r="E329" s="994"/>
      <c r="F329" s="994"/>
      <c r="G329" s="994"/>
      <c r="H329" s="994"/>
      <c r="I329" s="994"/>
      <c r="J329" s="994"/>
      <c r="K329" s="994"/>
      <c r="L329" s="994"/>
      <c r="M329" s="994"/>
      <c r="N329" s="994"/>
      <c r="O329" s="221" t="s">
        <v>3058</v>
      </c>
      <c r="P329" s="1166" t="s">
        <v>3918</v>
      </c>
      <c r="Q329" s="234"/>
    </row>
    <row r="330" spans="1:31" ht="11.45" customHeight="1">
      <c r="B330" s="192" t="s">
        <v>3061</v>
      </c>
      <c r="C330" s="994" t="s">
        <v>356</v>
      </c>
      <c r="D330" s="994"/>
      <c r="E330" s="994"/>
      <c r="F330" s="994"/>
      <c r="G330" s="994"/>
      <c r="H330" s="994"/>
      <c r="I330" s="994"/>
      <c r="J330" s="994"/>
      <c r="K330" s="994"/>
      <c r="L330" s="994"/>
      <c r="M330" s="740"/>
      <c r="O330" s="221" t="s">
        <v>3061</v>
      </c>
      <c r="P330" s="1166" t="s">
        <v>3919</v>
      </c>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3918</v>
      </c>
      <c r="Q331" s="234"/>
    </row>
    <row r="332" spans="1:31" ht="22.15" customHeight="1">
      <c r="B332" s="192" t="s">
        <v>3210</v>
      </c>
      <c r="C332" s="994" t="s">
        <v>1058</v>
      </c>
      <c r="D332" s="994"/>
      <c r="E332" s="994"/>
      <c r="F332" s="994"/>
      <c r="G332" s="994"/>
      <c r="H332" s="994"/>
      <c r="I332" s="994"/>
      <c r="J332" s="994"/>
      <c r="K332" s="994"/>
      <c r="L332" s="994"/>
      <c r="M332" s="994"/>
      <c r="N332" s="994"/>
      <c r="O332" s="221" t="s">
        <v>3210</v>
      </c>
      <c r="P332" s="1166" t="s">
        <v>3918</v>
      </c>
      <c r="Q332" s="234"/>
    </row>
    <row r="333" spans="1:31" ht="11.25" customHeight="1">
      <c r="B333" s="191" t="s">
        <v>2919</v>
      </c>
      <c r="D333" s="191"/>
      <c r="E333" s="191"/>
      <c r="F333" s="191"/>
      <c r="G333" s="191"/>
      <c r="H333" s="50"/>
      <c r="I333" s="179"/>
      <c r="J333" s="179"/>
      <c r="K333" s="179"/>
      <c r="L333" s="737"/>
      <c r="M333" s="737"/>
      <c r="N333" s="737"/>
      <c r="O333" s="737"/>
      <c r="P333" s="737"/>
      <c r="Q333" s="63"/>
    </row>
    <row r="334" spans="1:31" ht="11.45" customHeight="1">
      <c r="A334" s="1152" t="s">
        <v>4033</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t="s">
        <v>4032</v>
      </c>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2920</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1553</v>
      </c>
      <c r="C341" s="5"/>
      <c r="D341" s="5"/>
      <c r="E341" s="5"/>
      <c r="F341" s="5"/>
      <c r="G341" s="5"/>
      <c r="H341" s="740"/>
      <c r="I341" s="740"/>
      <c r="J341" s="740"/>
      <c r="K341" s="740"/>
      <c r="L341" s="740"/>
      <c r="M341" s="740"/>
      <c r="O341" s="180" t="s">
        <v>2921</v>
      </c>
      <c r="P341" s="992"/>
      <c r="Q341" s="993"/>
    </row>
    <row r="342" spans="1:31" ht="12" customHeight="1">
      <c r="B342" s="57" t="s">
        <v>3058</v>
      </c>
      <c r="C342" s="160" t="s">
        <v>2083</v>
      </c>
      <c r="D342" s="744"/>
      <c r="E342" s="744"/>
      <c r="F342" s="744"/>
      <c r="G342" s="744"/>
      <c r="H342" s="744"/>
      <c r="I342" s="52"/>
      <c r="J342" s="62" t="s">
        <v>3058</v>
      </c>
      <c r="K342" s="1224"/>
      <c r="L342" s="1225"/>
      <c r="M342" s="1225"/>
      <c r="N342" s="1225"/>
      <c r="O342" s="1226"/>
      <c r="P342" s="1166" t="s">
        <v>3919</v>
      </c>
      <c r="Q342" s="234"/>
    </row>
    <row r="343" spans="1:31" ht="24" customHeight="1">
      <c r="B343" s="192" t="s">
        <v>3061</v>
      </c>
      <c r="C343" s="977" t="s">
        <v>2905</v>
      </c>
      <c r="D343" s="977"/>
      <c r="E343" s="977"/>
      <c r="F343" s="977"/>
      <c r="G343" s="977"/>
      <c r="H343" s="977"/>
      <c r="I343" s="977"/>
      <c r="J343" s="977"/>
      <c r="K343" s="977"/>
      <c r="L343" s="977"/>
      <c r="M343" s="977"/>
      <c r="O343" s="221" t="s">
        <v>3061</v>
      </c>
      <c r="P343" s="1252"/>
      <c r="Q343" s="234"/>
    </row>
    <row r="344" spans="1:31" ht="12" customHeight="1">
      <c r="B344" s="57" t="s">
        <v>1238</v>
      </c>
      <c r="C344" s="65" t="s">
        <v>1554</v>
      </c>
      <c r="D344" s="65"/>
      <c r="E344" s="65"/>
      <c r="F344" s="65"/>
      <c r="G344" s="65"/>
      <c r="H344" s="65"/>
      <c r="I344" s="65"/>
      <c r="J344" s="65"/>
      <c r="K344" s="65"/>
      <c r="L344" s="40"/>
      <c r="M344" s="40"/>
      <c r="O344" s="62" t="s">
        <v>1238</v>
      </c>
      <c r="P344" s="1166"/>
      <c r="Q344" s="234"/>
    </row>
    <row r="345" spans="1:31" ht="12" customHeight="1">
      <c r="B345" s="57" t="s">
        <v>3210</v>
      </c>
      <c r="C345" s="65" t="s">
        <v>355</v>
      </c>
      <c r="D345" s="65"/>
      <c r="E345" s="65"/>
      <c r="F345" s="65"/>
      <c r="G345" s="65"/>
      <c r="H345" s="65"/>
      <c r="I345" s="65"/>
      <c r="J345" s="65"/>
      <c r="K345" s="65"/>
      <c r="L345" s="65"/>
      <c r="M345" s="65"/>
      <c r="O345" s="62" t="s">
        <v>3210</v>
      </c>
      <c r="P345" s="1166"/>
      <c r="Q345" s="234"/>
    </row>
    <row r="346" spans="1:31" ht="22.9" customHeight="1">
      <c r="B346" s="192" t="s">
        <v>2762</v>
      </c>
      <c r="C346" s="994" t="s">
        <v>429</v>
      </c>
      <c r="D346" s="994"/>
      <c r="E346" s="994"/>
      <c r="F346" s="994"/>
      <c r="G346" s="994"/>
      <c r="H346" s="994"/>
      <c r="I346" s="994"/>
      <c r="J346" s="994"/>
      <c r="K346" s="994"/>
      <c r="L346" s="994"/>
      <c r="M346" s="994"/>
      <c r="N346" s="994"/>
      <c r="O346" s="221" t="s">
        <v>2762</v>
      </c>
      <c r="P346" s="1252"/>
      <c r="Q346" s="353"/>
    </row>
    <row r="347" spans="1:31" ht="12" customHeight="1">
      <c r="B347" s="57" t="s">
        <v>2763</v>
      </c>
      <c r="C347" s="65" t="s">
        <v>1985</v>
      </c>
      <c r="D347" s="65"/>
      <c r="E347" s="65"/>
      <c r="F347" s="65"/>
      <c r="G347" s="65"/>
      <c r="H347" s="65"/>
      <c r="I347" s="65"/>
      <c r="J347" s="65"/>
      <c r="K347" s="65"/>
      <c r="L347" s="65"/>
      <c r="M347" s="65"/>
      <c r="O347" s="62" t="s">
        <v>2763</v>
      </c>
      <c r="P347" s="1166"/>
      <c r="Q347" s="234"/>
    </row>
    <row r="348" spans="1:31" ht="11.25" customHeight="1">
      <c r="B348" s="191" t="s">
        <v>2919</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2920</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3753</v>
      </c>
      <c r="C353" s="5"/>
      <c r="D353" s="5"/>
      <c r="E353" s="5"/>
      <c r="F353" s="5"/>
      <c r="G353" s="5"/>
      <c r="H353" s="740"/>
      <c r="I353" s="740"/>
      <c r="J353" s="740"/>
      <c r="O353" s="180" t="s">
        <v>2921</v>
      </c>
      <c r="P353" s="992"/>
      <c r="Q353" s="993"/>
    </row>
    <row r="354" spans="1:31" ht="11.45" customHeight="1">
      <c r="B354" s="57" t="s">
        <v>3058</v>
      </c>
      <c r="C354" s="160" t="s">
        <v>1657</v>
      </c>
      <c r="D354" s="744"/>
      <c r="E354" s="744"/>
      <c r="F354" s="744"/>
      <c r="G354" s="744"/>
      <c r="H354" s="744"/>
      <c r="I354" s="52"/>
      <c r="J354" s="62" t="s">
        <v>3058</v>
      </c>
      <c r="K354" s="1224"/>
      <c r="L354" s="1225"/>
      <c r="M354" s="1225"/>
      <c r="N354" s="1225"/>
      <c r="O354" s="1226"/>
      <c r="P354" s="1166" t="s">
        <v>3919</v>
      </c>
      <c r="Q354" s="234"/>
    </row>
    <row r="355" spans="1:31" ht="11.45" customHeight="1">
      <c r="B355" s="57" t="s">
        <v>3061</v>
      </c>
      <c r="C355" s="65" t="s">
        <v>2767</v>
      </c>
      <c r="D355" s="65"/>
      <c r="E355" s="65"/>
      <c r="F355" s="65"/>
      <c r="G355" s="65"/>
      <c r="H355" s="65"/>
      <c r="I355" s="65"/>
      <c r="J355" s="65"/>
      <c r="K355" s="65"/>
      <c r="L355" s="40"/>
      <c r="M355" s="40"/>
      <c r="O355" s="62" t="s">
        <v>3061</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3210</v>
      </c>
      <c r="C357" s="65" t="s">
        <v>3088</v>
      </c>
      <c r="D357" s="65"/>
      <c r="E357" s="65"/>
      <c r="F357" s="65"/>
      <c r="G357" s="65"/>
      <c r="H357" s="65"/>
      <c r="I357" s="65"/>
      <c r="J357" s="65"/>
      <c r="K357" s="65"/>
      <c r="L357" s="65"/>
      <c r="M357" s="65"/>
      <c r="O357" s="62" t="s">
        <v>3210</v>
      </c>
      <c r="P357" s="1166"/>
      <c r="Q357" s="234"/>
    </row>
    <row r="358" spans="1:31" ht="22.15" customHeight="1">
      <c r="B358" s="192" t="s">
        <v>2762</v>
      </c>
      <c r="C358" s="994" t="s">
        <v>635</v>
      </c>
      <c r="D358" s="994"/>
      <c r="E358" s="994"/>
      <c r="F358" s="994"/>
      <c r="G358" s="994"/>
      <c r="H358" s="994"/>
      <c r="I358" s="994"/>
      <c r="J358" s="994"/>
      <c r="K358" s="994"/>
      <c r="L358" s="994"/>
      <c r="M358" s="994"/>
      <c r="N358" s="994"/>
      <c r="O358" s="221" t="s">
        <v>2762</v>
      </c>
      <c r="P358" s="1166"/>
      <c r="Q358" s="234"/>
    </row>
    <row r="359" spans="1:31" ht="20.45" customHeight="1">
      <c r="B359" s="192" t="s">
        <v>2763</v>
      </c>
      <c r="C359" s="977" t="s">
        <v>230</v>
      </c>
      <c r="D359" s="977"/>
      <c r="E359" s="977"/>
      <c r="F359" s="977"/>
      <c r="G359" s="977"/>
      <c r="H359" s="977"/>
      <c r="I359" s="977"/>
      <c r="J359" s="977"/>
      <c r="K359" s="977"/>
      <c r="L359" s="977"/>
      <c r="M359" s="977"/>
      <c r="N359" s="977"/>
      <c r="O359" s="221" t="s">
        <v>2763</v>
      </c>
      <c r="P359" s="1252"/>
      <c r="Q359" s="234"/>
    </row>
    <row r="360" spans="1:31" ht="11.45" customHeight="1">
      <c r="B360" s="57" t="s">
        <v>3018</v>
      </c>
      <c r="C360" s="40" t="s">
        <v>851</v>
      </c>
      <c r="D360" s="204"/>
      <c r="E360" s="204"/>
      <c r="F360" s="204"/>
      <c r="G360" s="204"/>
      <c r="H360" s="204"/>
      <c r="I360" s="204"/>
      <c r="J360" s="204"/>
      <c r="K360" s="204"/>
      <c r="L360" s="204"/>
      <c r="M360" s="204"/>
      <c r="O360" s="62" t="s">
        <v>3018</v>
      </c>
      <c r="P360" s="1166"/>
      <c r="Q360" s="234"/>
    </row>
    <row r="361" spans="1:31" ht="11.25" customHeight="1">
      <c r="B361" s="191" t="s">
        <v>2919</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2920</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1082</v>
      </c>
      <c r="C366" s="5"/>
      <c r="D366" s="118"/>
      <c r="E366" s="740"/>
      <c r="F366" s="740"/>
      <c r="G366" s="740"/>
      <c r="H366" s="740"/>
      <c r="I366" s="740"/>
      <c r="J366" s="740"/>
      <c r="K366" s="740"/>
      <c r="L366" s="740"/>
      <c r="M366" s="740"/>
      <c r="O366" s="180" t="s">
        <v>2921</v>
      </c>
      <c r="P366" s="992"/>
      <c r="Q366" s="993"/>
    </row>
    <row r="367" spans="1:31" s="2" customFormat="1" ht="23.45" customHeight="1">
      <c r="B367" s="192" t="s">
        <v>3058</v>
      </c>
      <c r="C367" s="994" t="s">
        <v>201</v>
      </c>
      <c r="D367" s="994"/>
      <c r="E367" s="994"/>
      <c r="F367" s="994"/>
      <c r="G367" s="994"/>
      <c r="H367" s="994"/>
      <c r="I367" s="994"/>
      <c r="J367" s="994"/>
      <c r="K367" s="994"/>
      <c r="L367" s="994"/>
      <c r="M367" s="221" t="s">
        <v>3058</v>
      </c>
      <c r="N367" s="1273" t="s">
        <v>3995</v>
      </c>
      <c r="O367" s="1274"/>
      <c r="P367" s="1010" t="s">
        <v>2800</v>
      </c>
      <c r="Q367" s="1011"/>
    </row>
    <row r="368" spans="1:31" s="2" customFormat="1" ht="12" customHeight="1">
      <c r="B368" s="57" t="s">
        <v>3061</v>
      </c>
      <c r="C368" s="157" t="s">
        <v>2</v>
      </c>
      <c r="D368" s="204"/>
      <c r="E368" s="204"/>
      <c r="G368" s="62" t="s">
        <v>3061</v>
      </c>
      <c r="H368" s="1236" t="s">
        <v>4034</v>
      </c>
      <c r="I368" s="1237"/>
      <c r="J368" s="1237"/>
      <c r="K368" s="1237"/>
      <c r="L368" s="1237"/>
      <c r="M368" s="1237"/>
      <c r="N368" s="1237"/>
      <c r="O368" s="1238"/>
      <c r="P368" s="1166"/>
      <c r="Q368" s="234"/>
    </row>
    <row r="369" spans="1:31" s="2" customFormat="1" ht="12" customHeight="1">
      <c r="B369" s="57" t="s">
        <v>1238</v>
      </c>
      <c r="C369" s="40" t="s">
        <v>2125</v>
      </c>
      <c r="D369" s="12"/>
      <c r="E369" s="12"/>
      <c r="F369" s="12"/>
      <c r="G369" s="8"/>
      <c r="H369" s="8"/>
      <c r="I369" s="40"/>
      <c r="K369" s="8"/>
      <c r="L369" s="8"/>
      <c r="M369" s="8"/>
      <c r="O369" s="62" t="s">
        <v>1238</v>
      </c>
      <c r="P369" s="1166" t="s">
        <v>3919</v>
      </c>
      <c r="Q369" s="234"/>
    </row>
    <row r="370" spans="1:31" ht="11.25" customHeight="1">
      <c r="B370" s="191" t="s">
        <v>2919</v>
      </c>
      <c r="D370" s="191"/>
      <c r="E370" s="191"/>
      <c r="F370" s="191"/>
      <c r="G370" s="191"/>
      <c r="H370" s="50"/>
      <c r="I370" s="179"/>
      <c r="J370" s="179"/>
      <c r="K370" s="179"/>
      <c r="L370" s="737"/>
      <c r="M370" s="737"/>
      <c r="N370" s="737"/>
      <c r="O370" s="737"/>
      <c r="P370" s="737"/>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998" t="s">
        <v>1932</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2920</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2529</v>
      </c>
      <c r="C378" s="5"/>
      <c r="D378" s="5"/>
      <c r="E378" s="740"/>
      <c r="F378" s="190" t="s">
        <v>1057</v>
      </c>
      <c r="G378" s="740"/>
      <c r="H378" s="740"/>
      <c r="I378" s="740"/>
      <c r="J378" s="740"/>
      <c r="K378" s="740"/>
      <c r="L378" s="740"/>
      <c r="M378" s="740"/>
      <c r="O378" s="180" t="s">
        <v>2921</v>
      </c>
      <c r="P378" s="992"/>
      <c r="Q378" s="1009"/>
    </row>
    <row r="379" spans="1:31" ht="12" customHeight="1">
      <c r="A379" s="194"/>
      <c r="B379" s="57" t="s">
        <v>3058</v>
      </c>
      <c r="C379" s="65" t="s">
        <v>2126</v>
      </c>
      <c r="D379" s="743"/>
      <c r="E379" s="743"/>
      <c r="H379" s="190"/>
      <c r="O379" s="62" t="s">
        <v>3058</v>
      </c>
      <c r="P379" s="1166" t="s">
        <v>3919</v>
      </c>
      <c r="Q379" s="234"/>
    </row>
    <row r="380" spans="1:31" ht="12" customHeight="1">
      <c r="A380" s="194"/>
      <c r="B380" s="57" t="s">
        <v>3061</v>
      </c>
      <c r="C380" s="65" t="s">
        <v>1241</v>
      </c>
      <c r="D380" s="743"/>
      <c r="E380" s="743"/>
      <c r="O380" s="62" t="s">
        <v>3061</v>
      </c>
      <c r="P380" s="1166" t="s">
        <v>3919</v>
      </c>
      <c r="Q380" s="234"/>
    </row>
    <row r="381" spans="1:31" ht="12" customHeight="1">
      <c r="A381" s="194"/>
      <c r="B381" s="57" t="s">
        <v>1238</v>
      </c>
      <c r="C381" s="65" t="s">
        <v>1242</v>
      </c>
      <c r="D381" s="743"/>
      <c r="E381" s="743"/>
      <c r="O381" s="62" t="s">
        <v>1238</v>
      </c>
      <c r="P381" s="1166" t="s">
        <v>3919</v>
      </c>
      <c r="Q381" s="234"/>
    </row>
    <row r="382" spans="1:31" ht="12" customHeight="1">
      <c r="A382" s="194"/>
      <c r="B382" s="57" t="s">
        <v>3210</v>
      </c>
      <c r="C382" s="65" t="s">
        <v>877</v>
      </c>
      <c r="E382" s="190"/>
      <c r="O382" s="62" t="s">
        <v>3210</v>
      </c>
      <c r="P382" s="1166" t="s">
        <v>3919</v>
      </c>
      <c r="Q382" s="234"/>
    </row>
    <row r="383" spans="1:31" ht="12" customHeight="1">
      <c r="B383" s="57" t="s">
        <v>2762</v>
      </c>
      <c r="C383" s="65" t="s">
        <v>3173</v>
      </c>
      <c r="E383" s="190"/>
      <c r="G383" s="62" t="s">
        <v>2762</v>
      </c>
      <c r="H383" s="1236"/>
      <c r="I383" s="1237"/>
      <c r="J383" s="1237"/>
      <c r="K383" s="1237"/>
      <c r="L383" s="1237"/>
      <c r="M383" s="1237"/>
      <c r="N383" s="1237"/>
      <c r="O383" s="1238"/>
      <c r="P383" s="1166" t="s">
        <v>3919</v>
      </c>
      <c r="Q383" s="234"/>
    </row>
    <row r="384" spans="1:31" ht="11.25" customHeight="1">
      <c r="B384" s="191" t="s">
        <v>2919</v>
      </c>
      <c r="D384" s="191"/>
      <c r="E384" s="191"/>
      <c r="F384" s="191"/>
      <c r="G384" s="191"/>
      <c r="H384" s="50"/>
      <c r="I384" s="179"/>
      <c r="J384" s="179"/>
      <c r="K384" s="179"/>
      <c r="L384" s="737"/>
      <c r="M384" s="737"/>
      <c r="N384" s="737"/>
      <c r="O384" s="737"/>
      <c r="P384" s="737"/>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2920</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3754</v>
      </c>
      <c r="C389" s="1012"/>
      <c r="D389" s="1012"/>
      <c r="E389" s="1012"/>
      <c r="F389" s="1012"/>
      <c r="G389" s="1012"/>
      <c r="H389" s="740"/>
      <c r="I389" s="740"/>
      <c r="J389" s="740"/>
      <c r="K389" s="740"/>
      <c r="L389" s="740"/>
      <c r="M389" s="740"/>
      <c r="O389" s="180" t="s">
        <v>2921</v>
      </c>
      <c r="P389" s="992"/>
      <c r="Q389" s="1009"/>
    </row>
    <row r="390" spans="1:31" ht="23.45" customHeight="1">
      <c r="A390" s="189"/>
      <c r="B390" s="192" t="s">
        <v>3058</v>
      </c>
      <c r="C390" s="994" t="s">
        <v>907</v>
      </c>
      <c r="D390" s="994"/>
      <c r="E390" s="994"/>
      <c r="F390" s="994"/>
      <c r="G390" s="994"/>
      <c r="H390" s="994"/>
      <c r="I390" s="994"/>
      <c r="J390" s="994"/>
      <c r="K390" s="994"/>
      <c r="L390" s="994"/>
      <c r="M390" s="994"/>
      <c r="N390" s="994"/>
      <c r="O390" s="221" t="s">
        <v>3058</v>
      </c>
      <c r="P390" s="1166" t="s">
        <v>3980</v>
      </c>
      <c r="Q390" s="234"/>
    </row>
    <row r="391" spans="1:31" ht="12" customHeight="1">
      <c r="A391" s="189"/>
      <c r="B391" s="57" t="s">
        <v>3061</v>
      </c>
      <c r="C391" s="197" t="s">
        <v>852</v>
      </c>
      <c r="D391" s="740"/>
      <c r="E391" s="740"/>
      <c r="F391" s="740"/>
      <c r="G391" s="740"/>
      <c r="H391" s="740"/>
      <c r="I391" s="740"/>
      <c r="J391" s="740"/>
      <c r="K391" s="740"/>
      <c r="L391" s="740"/>
      <c r="M391" s="740"/>
      <c r="O391" s="62" t="s">
        <v>3061</v>
      </c>
      <c r="P391" s="1166" t="s">
        <v>2253</v>
      </c>
      <c r="Q391" s="234"/>
    </row>
    <row r="392" spans="1:31" ht="11.25" customHeight="1">
      <c r="B392" s="131" t="s">
        <v>2919</v>
      </c>
      <c r="D392" s="131"/>
      <c r="E392" s="131"/>
      <c r="F392" s="131"/>
      <c r="G392" s="131"/>
      <c r="H392" s="50"/>
      <c r="I392" s="179"/>
      <c r="J392" s="179"/>
      <c r="K392" s="187" t="s">
        <v>2920</v>
      </c>
      <c r="L392" s="737"/>
      <c r="M392" s="737"/>
      <c r="N392" s="737"/>
      <c r="O392" s="237"/>
      <c r="P392" s="737"/>
      <c r="Q392" s="63"/>
    </row>
    <row r="393" spans="1:31" ht="11.45" customHeight="1">
      <c r="A393" s="1159"/>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2004</v>
      </c>
      <c r="C395" s="1012"/>
      <c r="D395" s="1012"/>
      <c r="E395" s="1012"/>
      <c r="F395" s="1012"/>
      <c r="G395" s="1012"/>
      <c r="H395" s="740"/>
      <c r="I395" s="740"/>
      <c r="J395" s="740"/>
      <c r="K395" s="740"/>
      <c r="L395" s="740"/>
      <c r="M395" s="740"/>
      <c r="O395" s="180" t="s">
        <v>2921</v>
      </c>
      <c r="P395" s="992"/>
      <c r="Q395" s="1009"/>
    </row>
    <row r="396" spans="1:31" ht="12" customHeight="1">
      <c r="A396" s="52"/>
      <c r="B396" s="57" t="s">
        <v>3058</v>
      </c>
      <c r="C396" s="49" t="s">
        <v>1243</v>
      </c>
      <c r="D396" s="52"/>
      <c r="E396" s="52"/>
      <c r="F396" s="52"/>
      <c r="G396" s="52"/>
      <c r="H396" s="52"/>
      <c r="I396" s="52"/>
      <c r="J396" s="52"/>
      <c r="K396" s="52"/>
      <c r="L396" s="52"/>
      <c r="M396" s="52"/>
      <c r="N396" s="52"/>
      <c r="O396" s="62" t="s">
        <v>3058</v>
      </c>
      <c r="P396" s="1166" t="s">
        <v>3919</v>
      </c>
      <c r="Q396" s="234"/>
    </row>
    <row r="397" spans="1:31" ht="12" customHeight="1">
      <c r="A397" s="52"/>
      <c r="B397" s="57" t="s">
        <v>3061</v>
      </c>
      <c r="C397" s="49" t="s">
        <v>3312</v>
      </c>
      <c r="D397" s="52"/>
      <c r="E397" s="52"/>
      <c r="F397" s="52"/>
      <c r="G397" s="52"/>
      <c r="H397" s="52"/>
      <c r="I397" s="52"/>
      <c r="J397" s="52"/>
      <c r="K397" s="52"/>
      <c r="L397" s="52"/>
      <c r="M397" s="52"/>
      <c r="N397" s="52"/>
      <c r="O397" s="62" t="s">
        <v>2170</v>
      </c>
      <c r="P397" s="1166" t="s">
        <v>3919</v>
      </c>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2765</v>
      </c>
      <c r="P399" s="1166"/>
      <c r="Q399" s="234"/>
    </row>
    <row r="400" spans="1:31" ht="12" customHeight="1">
      <c r="A400" s="52"/>
      <c r="B400" s="57" t="s">
        <v>1238</v>
      </c>
      <c r="C400" s="977" t="s">
        <v>3311</v>
      </c>
      <c r="D400" s="977"/>
      <c r="E400" s="977"/>
      <c r="F400" s="977"/>
      <c r="G400" s="977"/>
      <c r="H400" s="977"/>
      <c r="I400" s="977"/>
      <c r="J400" s="977"/>
      <c r="K400" s="977"/>
      <c r="L400" s="977"/>
      <c r="M400" s="977"/>
      <c r="N400" s="977"/>
      <c r="O400" s="62" t="s">
        <v>1238</v>
      </c>
      <c r="P400" s="1166"/>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2764</v>
      </c>
      <c r="P402" s="1275"/>
      <c r="Q402" s="706" t="s">
        <v>311</v>
      </c>
    </row>
    <row r="403" spans="1:31" ht="12" customHeight="1">
      <c r="A403" s="52"/>
      <c r="B403" s="57"/>
      <c r="C403" s="183" t="s">
        <v>3315</v>
      </c>
      <c r="D403" s="52"/>
      <c r="E403" s="52"/>
      <c r="F403" s="40"/>
      <c r="G403" s="40"/>
      <c r="H403" s="52"/>
      <c r="K403" s="40"/>
      <c r="L403" s="40"/>
      <c r="M403" s="40"/>
      <c r="N403" s="52"/>
      <c r="O403" s="62" t="s">
        <v>2765</v>
      </c>
      <c r="P403" s="1275"/>
      <c r="Q403" s="706"/>
    </row>
    <row r="404" spans="1:31" ht="12" customHeight="1">
      <c r="A404" s="52"/>
      <c r="B404" s="57"/>
      <c r="C404" s="183" t="s">
        <v>3316</v>
      </c>
      <c r="D404" s="52"/>
      <c r="E404" s="52"/>
      <c r="F404" s="40"/>
      <c r="G404" s="40"/>
      <c r="H404" s="52"/>
      <c r="K404" s="40"/>
      <c r="L404" s="40"/>
      <c r="M404" s="40"/>
      <c r="N404" s="52"/>
      <c r="O404" s="62" t="s">
        <v>2766</v>
      </c>
      <c r="P404" s="1275"/>
      <c r="Q404" s="706" t="s">
        <v>311</v>
      </c>
    </row>
    <row r="405" spans="1:31" ht="12" customHeight="1">
      <c r="A405" s="52"/>
      <c r="B405" s="57"/>
      <c r="C405" s="183" t="s">
        <v>3317</v>
      </c>
      <c r="D405" s="52"/>
      <c r="E405" s="52"/>
      <c r="F405" s="40"/>
      <c r="G405" s="40"/>
      <c r="H405" s="52"/>
      <c r="K405" s="40"/>
      <c r="L405" s="40"/>
      <c r="M405" s="40"/>
      <c r="N405" s="52"/>
      <c r="O405" s="62" t="s">
        <v>3569</v>
      </c>
      <c r="P405" s="1275"/>
      <c r="Q405" s="706" t="s">
        <v>311</v>
      </c>
    </row>
    <row r="406" spans="1:31" ht="12" customHeight="1">
      <c r="A406" s="52"/>
      <c r="B406" s="57"/>
      <c r="C406" s="183" t="s">
        <v>3318</v>
      </c>
      <c r="D406" s="52"/>
      <c r="E406" s="52"/>
      <c r="F406" s="40"/>
      <c r="G406" s="40"/>
      <c r="H406" s="52"/>
      <c r="K406" s="40"/>
      <c r="L406" s="40"/>
      <c r="M406" s="40"/>
      <c r="N406" s="52"/>
      <c r="O406" s="62" t="s">
        <v>2303</v>
      </c>
      <c r="P406" s="1275"/>
      <c r="Q406" s="706" t="s">
        <v>311</v>
      </c>
    </row>
    <row r="407" spans="1:31" ht="12" customHeight="1">
      <c r="A407" s="52"/>
      <c r="B407" s="57" t="s">
        <v>2762</v>
      </c>
      <c r="C407" s="40" t="s">
        <v>3612</v>
      </c>
      <c r="D407" s="40"/>
      <c r="E407" s="40"/>
      <c r="F407" s="40"/>
      <c r="G407" s="40"/>
      <c r="J407" s="52"/>
      <c r="K407" s="40"/>
      <c r="L407" s="40"/>
      <c r="M407" s="40"/>
      <c r="N407" s="52"/>
      <c r="O407" s="62" t="s">
        <v>2762</v>
      </c>
      <c r="P407" s="62"/>
      <c r="Q407" s="62"/>
    </row>
    <row r="408" spans="1:31" ht="12" customHeight="1">
      <c r="A408" s="52"/>
      <c r="B408" s="57"/>
      <c r="C408" s="1276" t="s">
        <v>3319</v>
      </c>
      <c r="D408" s="40"/>
      <c r="E408" s="40"/>
      <c r="F408" s="40"/>
      <c r="G408" s="40"/>
      <c r="J408" s="52"/>
      <c r="K408" s="40"/>
      <c r="L408" s="40"/>
      <c r="M408" s="40"/>
      <c r="N408" s="52"/>
      <c r="O408" s="62" t="s">
        <v>2764</v>
      </c>
      <c r="P408" s="1166"/>
      <c r="Q408" s="234"/>
    </row>
    <row r="409" spans="1:31" ht="12" customHeight="1">
      <c r="A409" s="52"/>
      <c r="B409" s="57"/>
      <c r="C409" s="1276" t="s">
        <v>1826</v>
      </c>
      <c r="D409" s="40"/>
      <c r="E409" s="40"/>
      <c r="F409" s="40"/>
      <c r="G409" s="40"/>
      <c r="N409" s="52"/>
      <c r="O409" s="62" t="s">
        <v>2765</v>
      </c>
      <c r="P409" s="1166"/>
      <c r="Q409" s="234"/>
    </row>
    <row r="410" spans="1:31" ht="12" customHeight="1">
      <c r="A410" s="52"/>
      <c r="C410" s="1276" t="s">
        <v>1827</v>
      </c>
      <c r="D410" s="65"/>
      <c r="E410" s="65"/>
      <c r="F410" s="65"/>
      <c r="G410" s="65"/>
      <c r="J410" s="52"/>
      <c r="K410" s="65"/>
      <c r="L410" s="65"/>
      <c r="M410" s="65"/>
      <c r="N410" s="52"/>
      <c r="O410" s="62" t="s">
        <v>2766</v>
      </c>
      <c r="P410" s="1166"/>
      <c r="Q410" s="234"/>
    </row>
    <row r="411" spans="1:31" ht="12" customHeight="1">
      <c r="A411" s="52"/>
      <c r="B411" s="57"/>
      <c r="C411" s="1276" t="s">
        <v>3382</v>
      </c>
      <c r="D411" s="65"/>
      <c r="E411" s="65"/>
      <c r="F411" s="65"/>
      <c r="G411" s="62" t="s">
        <v>3569</v>
      </c>
      <c r="H411" s="1277"/>
      <c r="I411" s="1278"/>
      <c r="J411" s="1278"/>
      <c r="K411" s="1278"/>
      <c r="L411" s="1278"/>
      <c r="M411" s="1278"/>
      <c r="N411" s="1278"/>
      <c r="O411" s="1242"/>
      <c r="P411" s="1166"/>
      <c r="Q411" s="234"/>
    </row>
    <row r="412" spans="1:31" ht="12" customHeight="1">
      <c r="B412" s="191" t="s">
        <v>2919</v>
      </c>
      <c r="D412" s="191"/>
      <c r="E412" s="191"/>
      <c r="F412" s="191"/>
      <c r="G412" s="191"/>
      <c r="H412" s="50"/>
      <c r="I412" s="179"/>
      <c r="J412" s="179"/>
      <c r="K412" s="179"/>
      <c r="L412" s="737"/>
      <c r="M412" s="737"/>
      <c r="N412" s="737"/>
      <c r="O412" s="737"/>
      <c r="P412" s="737"/>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2920</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3121</v>
      </c>
      <c r="C420" s="5"/>
      <c r="D420" s="118"/>
      <c r="E420" s="740"/>
      <c r="F420" s="740"/>
      <c r="G420" s="740"/>
      <c r="H420" s="740"/>
      <c r="O420" s="180" t="s">
        <v>2921</v>
      </c>
      <c r="P420" s="992"/>
      <c r="Q420" s="993"/>
    </row>
    <row r="421" spans="1:31" ht="13.15" customHeight="1">
      <c r="B421" s="57" t="s">
        <v>3058</v>
      </c>
      <c r="C421" s="49" t="s">
        <v>887</v>
      </c>
      <c r="D421" s="52"/>
      <c r="E421" s="52"/>
      <c r="F421" s="52"/>
      <c r="G421" s="52"/>
      <c r="H421" s="52"/>
      <c r="I421" s="52"/>
      <c r="J421" s="52"/>
      <c r="K421" s="52"/>
      <c r="L421" s="52"/>
      <c r="M421" s="52"/>
      <c r="O421" s="62" t="s">
        <v>3058</v>
      </c>
      <c r="P421" s="1166" t="s">
        <v>3980</v>
      </c>
      <c r="Q421" s="234"/>
    </row>
    <row r="422" spans="1:31" ht="13.15" customHeight="1">
      <c r="B422" s="57" t="s">
        <v>3061</v>
      </c>
      <c r="C422" s="49" t="s">
        <v>888</v>
      </c>
      <c r="D422" s="52"/>
      <c r="E422" s="52"/>
      <c r="F422" s="52"/>
      <c r="G422" s="52"/>
      <c r="H422" s="52"/>
      <c r="I422" s="52"/>
      <c r="J422" s="52"/>
      <c r="K422" s="52"/>
      <c r="L422" s="52"/>
      <c r="M422" s="52"/>
      <c r="O422" s="62" t="s">
        <v>3061</v>
      </c>
      <c r="P422" s="1166" t="s">
        <v>3980</v>
      </c>
      <c r="Q422" s="234"/>
    </row>
    <row r="423" spans="1:31" ht="24" customHeight="1">
      <c r="B423" s="192" t="s">
        <v>1238</v>
      </c>
      <c r="C423" s="1008" t="s">
        <v>889</v>
      </c>
      <c r="D423" s="1008"/>
      <c r="E423" s="1008"/>
      <c r="F423" s="1008"/>
      <c r="G423" s="1008"/>
      <c r="H423" s="1008"/>
      <c r="I423" s="1008"/>
      <c r="J423" s="1008"/>
      <c r="K423" s="1008"/>
      <c r="L423" s="1008"/>
      <c r="M423" s="1008"/>
      <c r="N423" s="1008"/>
      <c r="O423" s="221" t="s">
        <v>1238</v>
      </c>
      <c r="P423" s="1252" t="s">
        <v>3980</v>
      </c>
      <c r="Q423" s="353"/>
    </row>
    <row r="424" spans="1:31" ht="11.25" customHeight="1">
      <c r="B424" s="191" t="s">
        <v>2919</v>
      </c>
      <c r="D424" s="191"/>
      <c r="E424" s="191"/>
      <c r="F424" s="191"/>
      <c r="G424" s="191"/>
      <c r="H424" s="50"/>
      <c r="I424" s="179"/>
      <c r="J424" s="179"/>
      <c r="K424" s="179"/>
      <c r="L424" s="737"/>
      <c r="M424" s="737"/>
      <c r="N424" s="737"/>
      <c r="O424" s="737"/>
      <c r="P424" s="737"/>
      <c r="Q424" s="63"/>
    </row>
    <row r="425" spans="1:31" ht="11.45" customHeight="1">
      <c r="A425" s="1152" t="s">
        <v>4016</v>
      </c>
      <c r="B425" s="1153"/>
      <c r="C425" s="1153"/>
      <c r="D425" s="1153"/>
      <c r="E425" s="1153"/>
      <c r="F425" s="1153"/>
      <c r="G425" s="1153"/>
      <c r="H425" s="1153"/>
      <c r="I425" s="1153"/>
      <c r="J425" s="1153"/>
      <c r="K425" s="1153"/>
      <c r="L425" s="1153"/>
      <c r="M425" s="1153"/>
      <c r="N425" s="1153"/>
      <c r="O425" s="1153"/>
      <c r="P425" s="1153"/>
      <c r="Q425" s="1154"/>
      <c r="R425" s="998" t="s">
        <v>1932</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2920</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1354</v>
      </c>
      <c r="C433" s="5"/>
      <c r="D433" s="118"/>
      <c r="E433" s="740"/>
      <c r="F433" s="740"/>
      <c r="G433" s="740"/>
      <c r="H433" s="740"/>
      <c r="I433" s="740"/>
      <c r="J433" s="740"/>
      <c r="K433" s="740"/>
      <c r="L433" s="740"/>
      <c r="M433" s="740"/>
      <c r="O433" s="180" t="s">
        <v>2921</v>
      </c>
      <c r="P433" s="992"/>
      <c r="Q433" s="993"/>
    </row>
    <row r="434" spans="1:31" ht="11.25" customHeight="1">
      <c r="A434" s="741"/>
      <c r="B434" s="191" t="s">
        <v>2919</v>
      </c>
      <c r="D434" s="191"/>
      <c r="E434" s="191"/>
      <c r="F434" s="191"/>
      <c r="G434" s="191"/>
      <c r="H434" s="50"/>
      <c r="I434" s="179"/>
      <c r="J434" s="179"/>
      <c r="K434" s="179"/>
      <c r="L434" s="737"/>
      <c r="M434" s="737"/>
      <c r="N434" s="737"/>
      <c r="O434" s="737"/>
      <c r="P434" s="737"/>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998" t="s">
        <v>1932</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2920</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1238</v>
      </c>
      <c r="C445" s="1279" t="s">
        <v>795</v>
      </c>
      <c r="D445" s="1279"/>
      <c r="E445" s="1279"/>
      <c r="F445" s="1279"/>
      <c r="G445" s="1279"/>
      <c r="H445" s="1279"/>
      <c r="I445" s="1279"/>
      <c r="J445" s="1279"/>
      <c r="K445" s="1279"/>
      <c r="L445" s="1279"/>
      <c r="M445" s="1279"/>
      <c r="N445" s="1279"/>
      <c r="O445" s="1279" t="s">
        <v>1238</v>
      </c>
      <c r="P445" s="1279"/>
      <c r="Q445" s="1279"/>
    </row>
    <row r="446" spans="1:31" ht="12" customHeight="1">
      <c r="A446" s="1279"/>
      <c r="B446" s="1279"/>
      <c r="C446" s="1279" t="s">
        <v>2764</v>
      </c>
      <c r="D446" s="1279" t="s">
        <v>883</v>
      </c>
      <c r="E446" s="1279"/>
      <c r="F446" s="1279"/>
      <c r="G446" s="1279"/>
      <c r="H446" s="1279"/>
      <c r="I446" s="1279"/>
      <c r="J446" s="1279"/>
      <c r="K446" s="1279"/>
      <c r="L446" s="1279"/>
      <c r="M446" s="1279"/>
      <c r="N446" s="1279"/>
      <c r="O446" s="1279" t="s">
        <v>2764</v>
      </c>
      <c r="P446" s="1279"/>
      <c r="Q446" s="1279"/>
    </row>
    <row r="447" spans="1:31" ht="12" customHeight="1">
      <c r="A447" s="1279"/>
      <c r="B447" s="1279"/>
      <c r="C447" s="1279" t="s">
        <v>2765</v>
      </c>
      <c r="D447" s="1279" t="s">
        <v>0</v>
      </c>
      <c r="E447" s="1279"/>
      <c r="F447" s="1279"/>
      <c r="G447" s="1279"/>
      <c r="H447" s="1279"/>
      <c r="I447" s="1279"/>
      <c r="J447" s="1279"/>
      <c r="K447" s="1279"/>
      <c r="L447" s="1279"/>
      <c r="M447" s="1279"/>
      <c r="N447" s="1279"/>
      <c r="O447" s="1279" t="s">
        <v>2765</v>
      </c>
      <c r="P447" s="1279"/>
      <c r="Q447" s="1279"/>
    </row>
    <row r="448" spans="1:31" ht="12" customHeight="1">
      <c r="A448" s="1279"/>
      <c r="B448" s="1279"/>
      <c r="C448" s="1279" t="s">
        <v>2766</v>
      </c>
      <c r="D448" s="1279" t="s">
        <v>796</v>
      </c>
      <c r="E448" s="1279"/>
      <c r="F448" s="1279"/>
      <c r="G448" s="1279"/>
      <c r="H448" s="1279"/>
      <c r="I448" s="1279"/>
      <c r="J448" s="1279"/>
      <c r="K448" s="1279"/>
      <c r="L448" s="1279"/>
      <c r="M448" s="1279"/>
      <c r="N448" s="1279"/>
      <c r="O448" s="1279" t="s">
        <v>2766</v>
      </c>
      <c r="P448" s="1279"/>
      <c r="Q448" s="1279"/>
    </row>
    <row r="449" spans="1:19" ht="12" customHeight="1">
      <c r="A449" s="1279"/>
      <c r="B449" s="1279"/>
      <c r="C449" s="1279" t="s">
        <v>3569</v>
      </c>
      <c r="D449" s="1279" t="s">
        <v>797</v>
      </c>
      <c r="E449" s="1279"/>
      <c r="F449" s="1279"/>
      <c r="G449" s="1279"/>
      <c r="H449" s="1279"/>
      <c r="I449" s="1279"/>
      <c r="J449" s="1279"/>
      <c r="K449" s="1279"/>
      <c r="L449" s="1279"/>
      <c r="M449" s="1279"/>
      <c r="N449" s="1279"/>
      <c r="O449" s="1279" t="s">
        <v>3569</v>
      </c>
      <c r="P449" s="1279"/>
      <c r="Q449" s="1279"/>
    </row>
    <row r="450" spans="1:19" ht="12" customHeight="1">
      <c r="A450" s="1279"/>
      <c r="B450" s="1279"/>
      <c r="C450" s="1279" t="s">
        <v>2303</v>
      </c>
      <c r="D450" s="1279" t="s">
        <v>798</v>
      </c>
      <c r="E450" s="1279"/>
      <c r="F450" s="1279"/>
      <c r="G450" s="1279"/>
      <c r="H450" s="1279"/>
      <c r="I450" s="1279"/>
      <c r="J450" s="1279"/>
      <c r="K450" s="1279"/>
      <c r="L450" s="1279"/>
      <c r="M450" s="1279"/>
      <c r="N450" s="1279"/>
      <c r="O450" s="1279" t="s">
        <v>2303</v>
      </c>
      <c r="P450" s="1279"/>
      <c r="Q450" s="1279"/>
    </row>
    <row r="451" spans="1:19" ht="12" customHeight="1">
      <c r="A451" s="1279"/>
      <c r="B451" s="1279"/>
      <c r="C451" s="1279" t="s">
        <v>2304</v>
      </c>
      <c r="D451" s="1279" t="s">
        <v>2356</v>
      </c>
      <c r="E451" s="1279"/>
      <c r="F451" s="1279"/>
      <c r="G451" s="1279"/>
      <c r="H451" s="1279"/>
      <c r="I451" s="1279"/>
      <c r="J451" s="1279"/>
      <c r="K451" s="1279"/>
      <c r="L451" s="1279"/>
      <c r="M451" s="1279"/>
      <c r="N451" s="1279"/>
      <c r="O451" s="1279" t="s">
        <v>2304</v>
      </c>
      <c r="P451" s="1279"/>
      <c r="Q451" s="1279"/>
    </row>
    <row r="452" spans="1:19" ht="12" customHeight="1">
      <c r="A452" s="1279"/>
      <c r="B452" s="1279"/>
      <c r="C452" s="1279" t="s">
        <v>112</v>
      </c>
      <c r="D452" s="1279" t="s">
        <v>799</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789</v>
      </c>
      <c r="D453" s="1279" t="s">
        <v>800</v>
      </c>
      <c r="E453" s="1279"/>
      <c r="F453" s="1279"/>
      <c r="G453" s="1279"/>
      <c r="H453" s="1279"/>
      <c r="I453" s="1279"/>
      <c r="J453" s="1279"/>
      <c r="K453" s="1279"/>
      <c r="L453" s="1279"/>
      <c r="M453" s="1279"/>
      <c r="N453" s="1279"/>
      <c r="O453" s="1279" t="s">
        <v>789</v>
      </c>
      <c r="P453" s="1279"/>
      <c r="Q453" s="1279"/>
    </row>
    <row r="454" spans="1:19" ht="12" customHeight="1">
      <c r="A454" s="1279"/>
      <c r="B454" s="1279"/>
      <c r="C454" s="1279" t="s">
        <v>790</v>
      </c>
      <c r="D454" s="1279" t="s">
        <v>2648</v>
      </c>
      <c r="E454" s="1279"/>
      <c r="F454" s="1279"/>
      <c r="G454" s="1279"/>
      <c r="H454" s="1279"/>
      <c r="I454" s="1279"/>
      <c r="J454" s="1279"/>
      <c r="K454" s="1279"/>
      <c r="L454" s="1279"/>
      <c r="M454" s="1279"/>
      <c r="N454" s="1279"/>
      <c r="O454" s="1279" t="s">
        <v>790</v>
      </c>
      <c r="P454" s="1279"/>
      <c r="Q454" s="1279"/>
    </row>
    <row r="455" spans="1:19" ht="12" customHeight="1">
      <c r="A455" s="1279"/>
      <c r="B455" s="1279"/>
      <c r="C455" s="1279" t="s">
        <v>791</v>
      </c>
      <c r="D455" s="1279" t="s">
        <v>2971</v>
      </c>
      <c r="E455" s="1279"/>
      <c r="F455" s="1279"/>
      <c r="G455" s="1279"/>
      <c r="H455" s="1279"/>
      <c r="I455" s="1279"/>
      <c r="J455" s="1279"/>
      <c r="K455" s="1279"/>
      <c r="L455" s="1279"/>
      <c r="M455" s="1279"/>
      <c r="N455" s="1279"/>
      <c r="O455" s="1279" t="s">
        <v>2973</v>
      </c>
      <c r="P455" s="1279"/>
      <c r="Q455" s="1279"/>
    </row>
    <row r="456" spans="1:19" ht="12" customHeight="1">
      <c r="A456" s="1279"/>
      <c r="B456" s="1279"/>
      <c r="C456" s="1279" t="s">
        <v>791</v>
      </c>
      <c r="D456" s="1279" t="s">
        <v>2972</v>
      </c>
      <c r="E456" s="1279"/>
      <c r="F456" s="1279"/>
      <c r="G456" s="1279"/>
      <c r="H456" s="1279"/>
      <c r="I456" s="1279"/>
      <c r="J456" s="1279"/>
      <c r="K456" s="1279"/>
      <c r="L456" s="1279"/>
      <c r="M456" s="1279"/>
      <c r="N456" s="1279"/>
      <c r="O456" s="1279"/>
      <c r="P456" s="1279"/>
      <c r="Q456" s="1279"/>
    </row>
    <row r="457" spans="1:19" ht="12" customHeight="1">
      <c r="A457" s="1279"/>
      <c r="B457" s="1279"/>
      <c r="C457" s="1279" t="s">
        <v>792</v>
      </c>
      <c r="D457" s="1279" t="s">
        <v>2974</v>
      </c>
      <c r="E457" s="1279"/>
      <c r="F457" s="1279"/>
      <c r="G457" s="1279"/>
      <c r="H457" s="1279"/>
      <c r="I457" s="1279"/>
      <c r="J457" s="1279"/>
      <c r="K457" s="1279"/>
      <c r="L457" s="1279"/>
      <c r="M457" s="1279"/>
      <c r="N457" s="1279"/>
      <c r="O457" s="1279" t="s">
        <v>792</v>
      </c>
      <c r="P457" s="1279"/>
      <c r="Q457" s="1279"/>
    </row>
    <row r="458" spans="1:19" ht="12" customHeight="1">
      <c r="A458" s="1279"/>
      <c r="B458" s="1279"/>
      <c r="C458" s="1279" t="s">
        <v>793</v>
      </c>
      <c r="D458" s="1279" t="s">
        <v>2975</v>
      </c>
      <c r="E458" s="1279"/>
      <c r="F458" s="1279"/>
      <c r="G458" s="1279"/>
      <c r="H458" s="1279"/>
      <c r="I458" s="1279"/>
      <c r="J458" s="1279"/>
      <c r="K458" s="1279"/>
      <c r="L458" s="1279"/>
      <c r="M458" s="1279"/>
      <c r="N458" s="1279"/>
      <c r="O458" s="1279" t="s">
        <v>793</v>
      </c>
      <c r="P458" s="1279"/>
      <c r="Q458" s="1279"/>
    </row>
    <row r="459" spans="1:19" ht="12" customHeight="1">
      <c r="A459" s="1279"/>
      <c r="B459" s="1279"/>
      <c r="C459" s="1279" t="s">
        <v>794</v>
      </c>
      <c r="D459" s="1279" t="s">
        <v>2976</v>
      </c>
      <c r="E459" s="1279"/>
      <c r="F459" s="1279"/>
      <c r="G459" s="1279"/>
      <c r="H459" s="1279" t="s">
        <v>2800</v>
      </c>
      <c r="I459" s="1279"/>
      <c r="J459" s="1279"/>
      <c r="K459" s="1279"/>
      <c r="L459" s="1279"/>
      <c r="M459" s="1279"/>
      <c r="N459" s="1279"/>
      <c r="O459" s="1279" t="s">
        <v>794</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3841</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3184</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3185</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5">
      <c r="A468" s="218"/>
      <c r="B468" s="166"/>
      <c r="C468" s="359" t="s">
        <v>3187</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3199</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3228</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3223</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3224</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3225</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3226</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3227</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64" zoomScaleNormal="90" workbookViewId="0">
      <selection activeCell="C12" sqref="C12"/>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2011-030 Water Tower Park Apartments, Gray, Jones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334</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58</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09" t="s">
        <v>3893</v>
      </c>
      <c r="G10" s="40">
        <f>F17</f>
        <v>0</v>
      </c>
      <c r="H10" s="246" t="s">
        <v>321</v>
      </c>
      <c r="M10" s="7">
        <v>7</v>
      </c>
      <c r="N10" s="82" t="s">
        <v>3058</v>
      </c>
      <c r="O10" s="1151"/>
      <c r="P10" s="69"/>
    </row>
    <row r="11" spans="1:19" s="52" customFormat="1" ht="11.25" customHeight="1">
      <c r="A11" s="257" t="s">
        <v>3061</v>
      </c>
      <c r="B11" s="238" t="s">
        <v>1215</v>
      </c>
      <c r="D11" s="58"/>
      <c r="E11" s="58"/>
      <c r="F11" s="709" t="s">
        <v>3893</v>
      </c>
      <c r="G11" s="40">
        <f>K17</f>
        <v>0</v>
      </c>
      <c r="H11" s="246" t="s">
        <v>322</v>
      </c>
      <c r="J11" s="59"/>
      <c r="M11" s="7">
        <v>0</v>
      </c>
      <c r="N11" s="82" t="s">
        <v>3061</v>
      </c>
      <c r="O11" s="1151"/>
      <c r="P11" s="69"/>
      <c r="Q11" s="146"/>
    </row>
    <row r="12" spans="1:19" s="53" customFormat="1" ht="11.25" customHeight="1">
      <c r="A12" s="257" t="s">
        <v>1238</v>
      </c>
      <c r="B12" s="238" t="s">
        <v>3208</v>
      </c>
      <c r="D12" s="58"/>
      <c r="E12" s="58"/>
      <c r="F12" s="709" t="s">
        <v>3893</v>
      </c>
      <c r="G12" s="40">
        <f>P17</f>
        <v>0</v>
      </c>
      <c r="H12" s="246" t="s">
        <v>323</v>
      </c>
      <c r="J12" s="59"/>
      <c r="M12" s="7">
        <v>1</v>
      </c>
      <c r="N12" s="82" t="s">
        <v>1238</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8" t="s">
        <v>1932</v>
      </c>
      <c r="R14" s="998"/>
    </row>
    <row r="15" spans="1:19" s="52" customFormat="1" ht="12.6"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2920</v>
      </c>
      <c r="C16" s="129"/>
      <c r="D16" s="129"/>
      <c r="F16" s="179" t="s">
        <v>2739</v>
      </c>
      <c r="K16" s="179" t="s">
        <v>2739</v>
      </c>
      <c r="P16" s="62" t="s">
        <v>2739</v>
      </c>
      <c r="R16" s="217"/>
      <c r="S16" s="217"/>
    </row>
    <row r="17" spans="1:19" s="52" customFormat="1" ht="12" customHeight="1">
      <c r="A17" s="1064" t="s">
        <v>3637</v>
      </c>
      <c r="B17" s="1064"/>
      <c r="C17" s="1064"/>
      <c r="D17" s="1064"/>
      <c r="E17" s="83" t="s">
        <v>785</v>
      </c>
      <c r="F17" s="96">
        <f>SUM(F18:F29)</f>
        <v>0</v>
      </c>
      <c r="G17" s="1065" t="s">
        <v>3638</v>
      </c>
      <c r="H17" s="1064"/>
      <c r="I17" s="1064"/>
      <c r="J17" s="83" t="s">
        <v>785</v>
      </c>
      <c r="K17" s="96">
        <f>SUM(K18:K29)</f>
        <v>0</v>
      </c>
      <c r="L17" s="746" t="s">
        <v>2247</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1932</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3064</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8</v>
      </c>
      <c r="L32" s="82" t="s">
        <v>1939</v>
      </c>
      <c r="M32" s="148">
        <f>IF(OR('Part VI-Revenues &amp; Expenses'!$M$61="", 'Part VI-Revenues &amp; Expenses'!$M$61=0),"",J32/'Part VI-Revenues &amp; Expenses'!$M$61)</f>
        <v>0.16666666666666666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2920</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3821</v>
      </c>
      <c r="B38" s="142" t="s">
        <v>2928</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3058</v>
      </c>
      <c r="B41" s="238" t="s">
        <v>2930</v>
      </c>
      <c r="C41" s="5"/>
      <c r="D41" s="5"/>
      <c r="E41" s="246" t="s">
        <v>2933</v>
      </c>
      <c r="F41" s="461"/>
      <c r="G41" s="246" t="s">
        <v>2929</v>
      </c>
      <c r="I41" s="49"/>
      <c r="K41" s="58"/>
      <c r="L41" s="1158"/>
      <c r="M41" s="3">
        <v>10</v>
      </c>
      <c r="N41" s="252" t="s">
        <v>3058</v>
      </c>
      <c r="O41" s="1162">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1162">
        <v>2</v>
      </c>
      <c r="P42" s="89"/>
      <c r="R42" s="573"/>
    </row>
    <row r="43" spans="1:18" s="53" customFormat="1" ht="12.6" customHeight="1">
      <c r="A43" s="189" t="s">
        <v>1238</v>
      </c>
      <c r="B43" s="238" t="s">
        <v>2932</v>
      </c>
      <c r="D43" s="51"/>
      <c r="E43" s="246" t="s">
        <v>624</v>
      </c>
      <c r="F43" s="599"/>
      <c r="G43" s="246" t="s">
        <v>625</v>
      </c>
      <c r="L43" s="1158"/>
      <c r="M43" s="7" t="s">
        <v>1900</v>
      </c>
      <c r="N43" s="252" t="s">
        <v>1238</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c r="B46" s="1153"/>
      <c r="C46" s="1153"/>
      <c r="D46" s="1153"/>
      <c r="E46" s="1153"/>
      <c r="F46" s="1153"/>
      <c r="G46" s="1153"/>
      <c r="H46" s="1153"/>
      <c r="I46" s="1153"/>
      <c r="J46" s="1153"/>
      <c r="K46" s="1153"/>
      <c r="L46" s="1153"/>
      <c r="M46" s="1153"/>
      <c r="N46" s="1153"/>
      <c r="O46" s="1153"/>
      <c r="P46" s="1154"/>
      <c r="Q46" s="998" t="s">
        <v>1932</v>
      </c>
      <c r="R46" s="998"/>
    </row>
    <row r="47" spans="1:18" s="53" customFormat="1" ht="23.45" customHeight="1">
      <c r="A47" s="1163"/>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2920</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1932</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1885</v>
      </c>
      <c r="B55" s="142" t="s">
        <v>1940</v>
      </c>
      <c r="D55" s="51"/>
      <c r="H55" s="59" t="s">
        <v>2939</v>
      </c>
      <c r="I55" s="49"/>
      <c r="J55" s="58"/>
      <c r="K55" s="58"/>
      <c r="M55" s="3">
        <v>2</v>
      </c>
      <c r="N55" s="62"/>
      <c r="O55" s="205">
        <f>MIN($M55,(O56+O57))</f>
        <v>1</v>
      </c>
      <c r="P55" s="205">
        <f>MIN($M55,(P56+P57))</f>
        <v>0</v>
      </c>
      <c r="Q55" s="146" t="s">
        <v>651</v>
      </c>
    </row>
    <row r="56" spans="1:18" s="53" customFormat="1" ht="12" customHeight="1">
      <c r="A56" s="189" t="s">
        <v>3058</v>
      </c>
      <c r="B56" s="238" t="s">
        <v>1709</v>
      </c>
      <c r="C56" s="5"/>
      <c r="D56" s="5"/>
      <c r="E56" s="46"/>
      <c r="F56" s="5"/>
      <c r="G56" s="49"/>
      <c r="I56" s="49"/>
      <c r="K56" s="58"/>
      <c r="L56" s="573" t="str">
        <f>IF(OR($O56=$M56,$O56=0,$O56=""),"","* * Check Score! * *")</f>
        <v/>
      </c>
      <c r="M56" s="3">
        <v>2</v>
      </c>
      <c r="N56" s="252" t="s">
        <v>3058</v>
      </c>
      <c r="O56" s="1162"/>
      <c r="P56" s="89"/>
      <c r="R56" s="573"/>
    </row>
    <row r="57" spans="1:18" s="53" customFormat="1" ht="12.6" customHeight="1">
      <c r="A57" s="189" t="s">
        <v>3061</v>
      </c>
      <c r="B57" s="238" t="s">
        <v>1710</v>
      </c>
      <c r="E57" s="51"/>
      <c r="K57" s="58"/>
      <c r="L57" s="573" t="str">
        <f>IF(OR($O57=$M57,$O57=0,$O57=""),"","* * Check Score! * *")</f>
        <v/>
      </c>
      <c r="M57" s="3">
        <v>1</v>
      </c>
      <c r="N57" s="62" t="s">
        <v>3061</v>
      </c>
      <c r="O57" s="116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4017</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2920</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1886</v>
      </c>
      <c r="B64" s="142" t="s">
        <v>3702</v>
      </c>
      <c r="D64" s="51"/>
      <c r="E64" s="600" t="s">
        <v>3704</v>
      </c>
      <c r="I64" s="59" t="s">
        <v>2939</v>
      </c>
      <c r="M64" s="3">
        <v>1</v>
      </c>
      <c r="N64" s="616" t="str">
        <f>IF(OR($O64=$M64,$O64=0,$O64=""),"","***")</f>
        <v/>
      </c>
      <c r="O64" s="1162"/>
      <c r="P64" s="89"/>
      <c r="Q64" s="146" t="s">
        <v>651</v>
      </c>
    </row>
    <row r="65" spans="1:17" s="53" customFormat="1" ht="12.6" customHeight="1">
      <c r="A65" s="210"/>
      <c r="B65" s="600" t="s">
        <v>1211</v>
      </c>
      <c r="D65" s="51"/>
      <c r="H65" s="59"/>
      <c r="I65" s="59"/>
      <c r="J65" s="59"/>
      <c r="K65" s="59"/>
      <c r="L65" s="59"/>
      <c r="M65" s="3"/>
      <c r="N65" s="616"/>
      <c r="O65" s="1166" t="s">
        <v>2253</v>
      </c>
      <c r="P65" s="234"/>
      <c r="Q65" s="146"/>
    </row>
    <row r="66" spans="1:17" s="53" customFormat="1" ht="12.6" customHeight="1">
      <c r="A66" s="210"/>
      <c r="B66" s="600" t="s">
        <v>1210</v>
      </c>
      <c r="D66" s="51"/>
      <c r="H66" s="59"/>
      <c r="I66" s="1167"/>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t="s">
        <v>2253</v>
      </c>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2920</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2090</v>
      </c>
      <c r="I74" s="59" t="s">
        <v>2939</v>
      </c>
      <c r="M74" s="3">
        <v>2</v>
      </c>
      <c r="N74" s="62"/>
      <c r="O74" s="1162"/>
      <c r="P74" s="89"/>
      <c r="Q74" s="146" t="s">
        <v>651</v>
      </c>
    </row>
    <row r="75" spans="1:17" s="53" customFormat="1" ht="12.6" customHeight="1">
      <c r="A75" s="210"/>
      <c r="B75" s="600" t="s">
        <v>1213</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2920</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743</v>
      </c>
      <c r="B82" s="143" t="s">
        <v>277</v>
      </c>
      <c r="D82" s="49"/>
      <c r="E82" s="46"/>
      <c r="F82" s="246" t="s">
        <v>626</v>
      </c>
      <c r="I82" s="1170" t="s">
        <v>3996</v>
      </c>
      <c r="J82" s="1171"/>
      <c r="K82" s="1171"/>
      <c r="L82" s="1172"/>
      <c r="M82" s="3">
        <v>3</v>
      </c>
      <c r="O82" s="96">
        <f>IF(OR(I82="Earth Craft Communities",I82="LEED-ND"),3,IF(OR(I82="Earth Craft House",I82="LEED for Homes",I82="EF Green Communities"),2,0))</f>
        <v>2</v>
      </c>
      <c r="P82" s="89"/>
      <c r="Q82" s="146" t="s">
        <v>651</v>
      </c>
    </row>
    <row r="83" spans="1:18" s="139" customFormat="1" ht="21" customHeight="1">
      <c r="A83" s="52"/>
      <c r="B83" s="1173" t="s">
        <v>2658</v>
      </c>
      <c r="C83" s="1070"/>
      <c r="D83" s="1070"/>
      <c r="E83" s="1070"/>
      <c r="F83" s="1070"/>
      <c r="G83" s="1070"/>
      <c r="H83" s="1070"/>
      <c r="I83" s="1070"/>
      <c r="J83" s="1070"/>
      <c r="K83" s="1070"/>
      <c r="L83" s="1070"/>
      <c r="M83" s="1070"/>
      <c r="N83" s="1"/>
      <c r="O83" s="1174" t="s">
        <v>3918</v>
      </c>
      <c r="P83" s="551"/>
    </row>
    <row r="84" spans="1:18" s="598" customFormat="1" ht="34.9" customHeight="1">
      <c r="B84" s="194" t="s">
        <v>3058</v>
      </c>
      <c r="C84" s="1077" t="s">
        <v>1569</v>
      </c>
      <c r="D84" s="1039"/>
      <c r="E84" s="1039"/>
      <c r="F84" s="1039"/>
      <c r="G84" s="1039"/>
      <c r="H84" s="1039"/>
      <c r="I84" s="1039"/>
      <c r="J84" s="1039"/>
      <c r="K84" s="1039"/>
      <c r="L84" s="1039"/>
      <c r="M84" s="698" t="str">
        <f>IF(AND($I$93="Stable Communities &lt; 10%",O84=""), "X","")</f>
        <v/>
      </c>
      <c r="N84" s="221" t="s">
        <v>3058</v>
      </c>
      <c r="O84" s="1175" t="s">
        <v>3980</v>
      </c>
      <c r="P84" s="703"/>
    </row>
    <row r="85" spans="1:18" s="598" customFormat="1" ht="34.9" customHeight="1">
      <c r="B85" s="194" t="s">
        <v>3061</v>
      </c>
      <c r="C85" s="994" t="s">
        <v>1570</v>
      </c>
      <c r="D85" s="1039"/>
      <c r="E85" s="1039"/>
      <c r="F85" s="1039"/>
      <c r="G85" s="1039"/>
      <c r="H85" s="1039"/>
      <c r="I85" s="1039"/>
      <c r="J85" s="1039"/>
      <c r="K85" s="1039"/>
      <c r="L85" s="1039"/>
      <c r="M85" s="698" t="str">
        <f>IF(AND($I$93="Stable Communities &lt; 10%",O85=""), "X","")</f>
        <v/>
      </c>
      <c r="N85" s="221" t="s">
        <v>3061</v>
      </c>
      <c r="O85" s="1176" t="s">
        <v>3980</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2920</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3639</v>
      </c>
      <c r="C93" s="126"/>
      <c r="D93" s="74"/>
      <c r="E93" s="74"/>
      <c r="I93" s="1170" t="s">
        <v>3997</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3058</v>
      </c>
      <c r="B95" s="256" t="s">
        <v>3792</v>
      </c>
      <c r="D95" s="42"/>
      <c r="H95" s="76"/>
      <c r="I95" s="42"/>
      <c r="J95" s="42"/>
      <c r="M95" s="156">
        <v>4</v>
      </c>
      <c r="N95" s="31"/>
      <c r="O95" s="31"/>
      <c r="P95" s="31"/>
    </row>
    <row r="96" spans="1:18" ht="11.45" customHeight="1">
      <c r="A96" s="564" t="str">
        <f>IF($I$93="Stable Communities &lt; 10%", "X","")</f>
        <v/>
      </c>
      <c r="B96" s="565" t="s">
        <v>3062</v>
      </c>
      <c r="C96" s="235" t="s">
        <v>867</v>
      </c>
      <c r="E96" s="159"/>
      <c r="N96" s="31"/>
      <c r="O96" s="161" t="s">
        <v>3793</v>
      </c>
      <c r="P96" s="161" t="s">
        <v>3793</v>
      </c>
    </row>
    <row r="97" spans="1:16" ht="11.45" customHeight="1">
      <c r="B97" s="233" t="s">
        <v>3680</v>
      </c>
      <c r="C97" s="584" t="s">
        <v>3620</v>
      </c>
      <c r="E97" s="159"/>
      <c r="G97" s="137" t="s">
        <v>3621</v>
      </c>
      <c r="M97" s="590" t="str">
        <f>IF(AND($I$93="Stable Communities &lt; 10%",O97=""), "X","")</f>
        <v/>
      </c>
      <c r="N97" s="233" t="s">
        <v>3680</v>
      </c>
      <c r="O97" s="1183"/>
      <c r="P97" s="354"/>
    </row>
    <row r="98" spans="1:16" ht="11.45" customHeight="1">
      <c r="B98" s="233" t="s">
        <v>3681</v>
      </c>
      <c r="C98" s="585" t="s">
        <v>3622</v>
      </c>
      <c r="E98" s="159"/>
      <c r="G98" s="137" t="s">
        <v>3623</v>
      </c>
      <c r="M98" s="590" t="str">
        <f>IF(AND($I$93="Stable Communities &lt; 10%",O98=""), "X","")</f>
        <v/>
      </c>
      <c r="N98" s="233" t="s">
        <v>3681</v>
      </c>
      <c r="O98" s="1174"/>
      <c r="P98" s="551"/>
    </row>
    <row r="99" spans="1:16" ht="11.45" customHeight="1">
      <c r="B99" s="233" t="s">
        <v>3682</v>
      </c>
      <c r="C99" s="585" t="s">
        <v>2190</v>
      </c>
      <c r="E99" s="159"/>
      <c r="M99" s="590" t="str">
        <f>IF(AND($I$93="Stable Communities &lt; 10%",O99=""), "X","")</f>
        <v/>
      </c>
      <c r="N99" s="233" t="s">
        <v>3684</v>
      </c>
      <c r="O99" s="1184"/>
      <c r="P99" s="355"/>
    </row>
    <row r="100" spans="1:16" ht="11.45" customHeight="1">
      <c r="A100" s="564" t="str">
        <f>IF($I$93="Stable Communities &lt; 20%", "X","")</f>
        <v>X</v>
      </c>
      <c r="B100" s="565" t="s">
        <v>3064</v>
      </c>
      <c r="C100" s="235" t="s">
        <v>867</v>
      </c>
      <c r="E100" s="159"/>
      <c r="M100" s="591"/>
      <c r="N100" s="31"/>
      <c r="O100" s="161" t="s">
        <v>3793</v>
      </c>
      <c r="P100" s="161" t="s">
        <v>3793</v>
      </c>
    </row>
    <row r="101" spans="1:16" ht="11.45" customHeight="1">
      <c r="B101" s="233" t="s">
        <v>3680</v>
      </c>
      <c r="C101" s="584" t="s">
        <v>3705</v>
      </c>
      <c r="E101" s="159"/>
      <c r="G101" s="137" t="s">
        <v>3624</v>
      </c>
      <c r="M101" s="590" t="str">
        <f>IF(AND($I$93="Stable Communities &lt; 20%",O101=""), "X","")</f>
        <v/>
      </c>
      <c r="N101" s="233" t="s">
        <v>3680</v>
      </c>
      <c r="O101" s="1183" t="s">
        <v>3918</v>
      </c>
      <c r="P101" s="354"/>
    </row>
    <row r="102" spans="1:16" ht="11.45" customHeight="1">
      <c r="B102" s="233" t="s">
        <v>3681</v>
      </c>
      <c r="C102" s="585" t="s">
        <v>3622</v>
      </c>
      <c r="E102" s="159"/>
      <c r="G102" s="137" t="s">
        <v>3623</v>
      </c>
      <c r="M102" s="590" t="str">
        <f>IF(AND($I$93="Stable Communities &lt; 20%",O102=""), "X","")</f>
        <v/>
      </c>
      <c r="N102" s="233" t="s">
        <v>3681</v>
      </c>
      <c r="O102" s="1174" t="s">
        <v>3918</v>
      </c>
      <c r="P102" s="551"/>
    </row>
    <row r="103" spans="1:16" ht="11.45" customHeight="1">
      <c r="B103" s="233" t="s">
        <v>3682</v>
      </c>
      <c r="C103" s="585" t="s">
        <v>2190</v>
      </c>
      <c r="E103" s="159"/>
      <c r="M103" s="590" t="str">
        <f>IF(AND($I$93="Stable Communities &lt; 20%",O103=""), "X","")</f>
        <v/>
      </c>
      <c r="N103" s="233" t="s">
        <v>3684</v>
      </c>
      <c r="O103" s="1184" t="s">
        <v>3918</v>
      </c>
      <c r="P103" s="355"/>
    </row>
    <row r="104" spans="1:16" ht="11.45" customHeight="1">
      <c r="A104" s="189" t="s">
        <v>3061</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 customHeight="1">
      <c r="B106" s="566" t="s">
        <v>3680</v>
      </c>
      <c r="C106" s="567" t="s">
        <v>913</v>
      </c>
      <c r="D106" s="137"/>
      <c r="M106" s="589" t="str">
        <f>IF(AND($I$93="HOPE VI Initiative",O106=""), "X","")</f>
        <v/>
      </c>
      <c r="N106" s="233" t="s">
        <v>3680</v>
      </c>
      <c r="O106" s="1183" t="s">
        <v>2253</v>
      </c>
      <c r="P106" s="354"/>
    </row>
    <row r="107" spans="1:16" ht="10.9" customHeight="1">
      <c r="B107" s="566" t="s">
        <v>3681</v>
      </c>
      <c r="C107" s="567" t="s">
        <v>914</v>
      </c>
      <c r="M107" s="589" t="str">
        <f>IF(AND($I$93="HOPE VI Initiative",O107=""), "X","")</f>
        <v/>
      </c>
      <c r="N107" s="233" t="s">
        <v>3681</v>
      </c>
      <c r="O107" s="1174" t="s">
        <v>2253</v>
      </c>
      <c r="P107" s="551"/>
    </row>
    <row r="108" spans="1:16" ht="10.9" customHeight="1">
      <c r="B108" s="566" t="s">
        <v>3682</v>
      </c>
      <c r="C108" s="567" t="s">
        <v>915</v>
      </c>
      <c r="M108" s="589" t="str">
        <f>IF(AND($I$93="HOPE VI Initiative",O108=""), "X","")</f>
        <v/>
      </c>
      <c r="N108" s="233" t="s">
        <v>3682</v>
      </c>
      <c r="O108" s="1174" t="s">
        <v>2253</v>
      </c>
      <c r="P108" s="551"/>
    </row>
    <row r="109" spans="1:16" ht="10.9" customHeight="1">
      <c r="B109" s="566" t="s">
        <v>3683</v>
      </c>
      <c r="C109" s="72" t="s">
        <v>916</v>
      </c>
      <c r="M109" s="589" t="str">
        <f>IF(AND($I$93="HOPE VI Initiative",O109=""), "X","")</f>
        <v/>
      </c>
      <c r="N109" s="233" t="s">
        <v>3683</v>
      </c>
      <c r="O109" s="1184" t="s">
        <v>2253</v>
      </c>
      <c r="P109" s="355"/>
    </row>
    <row r="110" spans="1:16" s="53" customFormat="1" ht="11.45" customHeight="1">
      <c r="A110" s="564"/>
      <c r="B110" s="565" t="s">
        <v>3064</v>
      </c>
      <c r="C110" s="153" t="s">
        <v>539</v>
      </c>
      <c r="D110" s="139"/>
      <c r="E110" s="50"/>
      <c r="G110" s="594" t="s">
        <v>920</v>
      </c>
      <c r="M110" s="70"/>
      <c r="N110" s="565" t="s">
        <v>3064</v>
      </c>
      <c r="O110" s="1184" t="s">
        <v>2253</v>
      </c>
      <c r="P110" s="355"/>
    </row>
    <row r="111" spans="1:16" s="53" customFormat="1" ht="11.45" customHeight="1">
      <c r="A111" s="564" t="str">
        <f>IF($I$93="Redevelopment Zone", "X","")</f>
        <v/>
      </c>
      <c r="B111" s="565" t="s">
        <v>3821</v>
      </c>
      <c r="C111" s="153" t="s">
        <v>540</v>
      </c>
      <c r="D111" s="139"/>
      <c r="F111" s="589"/>
      <c r="G111" s="50" t="s">
        <v>1650</v>
      </c>
      <c r="H111" s="1185" t="s">
        <v>2800</v>
      </c>
      <c r="I111" s="161" t="s">
        <v>1562</v>
      </c>
      <c r="J111" s="1186"/>
      <c r="K111" s="1187"/>
      <c r="L111" s="1188"/>
      <c r="M111" s="70"/>
      <c r="N111" s="565" t="s">
        <v>3821</v>
      </c>
      <c r="O111" s="1184" t="s">
        <v>2253</v>
      </c>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t="s">
        <v>2253</v>
      </c>
      <c r="P112" s="355"/>
    </row>
    <row r="113" spans="1:16" ht="11.45" customHeight="1">
      <c r="B113" s="566" t="s">
        <v>3680</v>
      </c>
      <c r="C113" s="50" t="s">
        <v>921</v>
      </c>
      <c r="D113" s="137"/>
      <c r="G113" s="137" t="s">
        <v>919</v>
      </c>
      <c r="H113" s="1192"/>
      <c r="M113" s="589" t="str">
        <f>IF(AND($I$93="Local Redevelopment Plan",O113=""), "X","")</f>
        <v/>
      </c>
      <c r="N113" s="566" t="s">
        <v>3680</v>
      </c>
      <c r="O113" s="1183" t="s">
        <v>2253</v>
      </c>
      <c r="P113" s="354"/>
    </row>
    <row r="114" spans="1:16" ht="10.9" customHeight="1">
      <c r="B114" s="566" t="s">
        <v>3681</v>
      </c>
      <c r="C114" s="567" t="s">
        <v>3709</v>
      </c>
      <c r="D114" s="137"/>
      <c r="M114" s="589"/>
      <c r="N114" s="566" t="s">
        <v>3681</v>
      </c>
      <c r="O114" s="1193" t="s">
        <v>2253</v>
      </c>
      <c r="P114" s="617"/>
    </row>
    <row r="115" spans="1:16" ht="10.9" customHeight="1">
      <c r="B115" s="566" t="s">
        <v>3682</v>
      </c>
      <c r="C115" s="567" t="s">
        <v>3710</v>
      </c>
      <c r="M115" s="589" t="str">
        <f t="shared" ref="M115:M124" si="0">IF(AND($I$93="Local Redevelopment Plan",O115=""), "X","")</f>
        <v/>
      </c>
      <c r="N115" s="566" t="s">
        <v>3682</v>
      </c>
      <c r="O115" s="1174" t="s">
        <v>2253</v>
      </c>
      <c r="P115" s="551"/>
    </row>
    <row r="116" spans="1:16" ht="10.9" customHeight="1">
      <c r="B116" s="566" t="s">
        <v>3683</v>
      </c>
      <c r="C116" s="567" t="s">
        <v>3711</v>
      </c>
      <c r="M116" s="589" t="str">
        <f t="shared" si="0"/>
        <v/>
      </c>
      <c r="N116" s="566" t="s">
        <v>3683</v>
      </c>
      <c r="O116" s="1174" t="s">
        <v>2253</v>
      </c>
      <c r="P116" s="551"/>
    </row>
    <row r="117" spans="1:16" ht="10.9" customHeight="1">
      <c r="B117" s="566" t="s">
        <v>3684</v>
      </c>
      <c r="C117" s="72" t="s">
        <v>3712</v>
      </c>
      <c r="M117" s="589" t="str">
        <f t="shared" si="0"/>
        <v/>
      </c>
      <c r="N117" s="566" t="s">
        <v>3684</v>
      </c>
      <c r="O117" s="1174" t="s">
        <v>2253</v>
      </c>
      <c r="P117" s="551"/>
    </row>
    <row r="118" spans="1:16" ht="10.9" customHeight="1">
      <c r="B118" s="566" t="s">
        <v>3707</v>
      </c>
      <c r="C118" s="567" t="s">
        <v>3713</v>
      </c>
      <c r="D118" s="137"/>
      <c r="M118" s="589" t="str">
        <f t="shared" si="0"/>
        <v/>
      </c>
      <c r="N118" s="566" t="s">
        <v>3707</v>
      </c>
      <c r="O118" s="1174" t="s">
        <v>2253</v>
      </c>
      <c r="P118" s="551"/>
    </row>
    <row r="119" spans="1:16" ht="10.9" customHeight="1">
      <c r="B119" s="566" t="s">
        <v>3708</v>
      </c>
      <c r="C119" s="567" t="s">
        <v>3714</v>
      </c>
      <c r="M119" s="589" t="str">
        <f t="shared" si="0"/>
        <v/>
      </c>
      <c r="N119" s="566" t="s">
        <v>3708</v>
      </c>
      <c r="O119" s="1184" t="s">
        <v>2253</v>
      </c>
      <c r="P119" s="355"/>
    </row>
    <row r="120" spans="1:16" ht="11.45" customHeight="1">
      <c r="A120" s="564" t="str">
        <f>IF($I$93="Stable Communities &lt; 20%", "X","")</f>
        <v>X</v>
      </c>
      <c r="B120" s="584" t="s">
        <v>3718</v>
      </c>
      <c r="E120" s="159"/>
      <c r="M120" s="591"/>
      <c r="N120" s="31"/>
      <c r="O120" s="161" t="s">
        <v>3793</v>
      </c>
      <c r="P120" s="161" t="s">
        <v>3793</v>
      </c>
    </row>
    <row r="121" spans="1:16" ht="10.9" customHeight="1">
      <c r="B121" s="566" t="s">
        <v>3715</v>
      </c>
      <c r="C121" s="567" t="s">
        <v>3719</v>
      </c>
      <c r="M121" s="589" t="str">
        <f t="shared" si="0"/>
        <v/>
      </c>
      <c r="N121" s="566" t="s">
        <v>3715</v>
      </c>
      <c r="O121" s="1183" t="s">
        <v>2253</v>
      </c>
      <c r="P121" s="354"/>
    </row>
    <row r="122" spans="1:16" ht="10.9" customHeight="1">
      <c r="B122" s="566" t="s">
        <v>3716</v>
      </c>
      <c r="C122" s="72" t="s">
        <v>3720</v>
      </c>
      <c r="M122" s="589" t="str">
        <f t="shared" si="0"/>
        <v/>
      </c>
      <c r="N122" s="566" t="s">
        <v>3716</v>
      </c>
      <c r="O122" s="1174" t="s">
        <v>2253</v>
      </c>
      <c r="P122" s="551"/>
    </row>
    <row r="123" spans="1:16" ht="10.9" customHeight="1">
      <c r="B123" s="566" t="s">
        <v>3717</v>
      </c>
      <c r="C123" s="567" t="s">
        <v>3721</v>
      </c>
      <c r="M123" s="589" t="str">
        <f t="shared" si="0"/>
        <v/>
      </c>
      <c r="N123" s="566" t="s">
        <v>3717</v>
      </c>
      <c r="O123" s="1174" t="s">
        <v>2253</v>
      </c>
      <c r="P123" s="551"/>
    </row>
    <row r="124" spans="1:16" ht="10.9" customHeight="1">
      <c r="B124" s="566" t="s">
        <v>918</v>
      </c>
      <c r="C124" s="72" t="s">
        <v>3722</v>
      </c>
      <c r="M124" s="589" t="str">
        <f t="shared" si="0"/>
        <v/>
      </c>
      <c r="N124" s="566" t="s">
        <v>918</v>
      </c>
      <c r="O124" s="1184" t="s">
        <v>2253</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2920</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3723</v>
      </c>
      <c r="D132" s="51"/>
      <c r="E132" s="51"/>
      <c r="F132" s="51"/>
      <c r="H132" s="76"/>
      <c r="J132" s="76" t="s">
        <v>504</v>
      </c>
      <c r="K132" s="58"/>
      <c r="M132" s="3">
        <v>3</v>
      </c>
      <c r="N132" s="7"/>
      <c r="O132" s="96">
        <f>MIN($M132,(O133+O139))</f>
        <v>3</v>
      </c>
      <c r="P132" s="96">
        <f>MIN($M132,(P133+P139))</f>
        <v>3</v>
      </c>
      <c r="Q132" s="146" t="s">
        <v>651</v>
      </c>
    </row>
    <row r="133" spans="1:17" ht="12" customHeight="1">
      <c r="B133" s="737"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1194"/>
      <c r="P133" s="696"/>
    </row>
    <row r="134" spans="1:17" s="137" customFormat="1" ht="22.9" customHeight="1">
      <c r="B134" s="596" t="s">
        <v>3062</v>
      </c>
      <c r="C134" s="1067" t="s">
        <v>1564</v>
      </c>
      <c r="D134" s="1039"/>
      <c r="E134" s="1039"/>
      <c r="F134" s="1039"/>
      <c r="G134" s="1039"/>
      <c r="H134" s="1039"/>
      <c r="I134" s="1039"/>
      <c r="J134" s="1039"/>
      <c r="K134" s="1039"/>
      <c r="L134" s="1039"/>
      <c r="M134" s="695"/>
      <c r="N134" s="596" t="s">
        <v>3062</v>
      </c>
      <c r="O134" s="1166" t="s">
        <v>2253</v>
      </c>
      <c r="P134" s="234"/>
    </row>
    <row r="135" spans="1:17" s="137" customFormat="1" ht="11.45" customHeight="1">
      <c r="B135" s="252"/>
      <c r="C135" s="160" t="s">
        <v>1565</v>
      </c>
      <c r="H135" s="137" t="s">
        <v>1563</v>
      </c>
      <c r="I135" s="1195"/>
      <c r="J135" s="137" t="s">
        <v>951</v>
      </c>
      <c r="K135" s="1196"/>
      <c r="L135" s="1197"/>
      <c r="M135" s="1198"/>
    </row>
    <row r="136" spans="1:17" s="137" customFormat="1" ht="11.45" customHeight="1">
      <c r="B136" s="252" t="s">
        <v>3064</v>
      </c>
      <c r="C136" s="160" t="s">
        <v>1566</v>
      </c>
      <c r="M136" s="8"/>
      <c r="N136" s="252" t="s">
        <v>3064</v>
      </c>
      <c r="O136" s="1183" t="s">
        <v>2253</v>
      </c>
      <c r="P136" s="354"/>
    </row>
    <row r="137" spans="1:17" s="137" customFormat="1" ht="11.45" customHeight="1">
      <c r="B137" s="252" t="s">
        <v>3821</v>
      </c>
      <c r="C137" s="160" t="s">
        <v>1567</v>
      </c>
      <c r="M137" s="8"/>
      <c r="N137" s="252" t="s">
        <v>3821</v>
      </c>
      <c r="O137" s="1174" t="s">
        <v>2253</v>
      </c>
      <c r="P137" s="551"/>
    </row>
    <row r="138" spans="1:17" s="137" customFormat="1" ht="11.45" customHeight="1">
      <c r="B138" s="252" t="s">
        <v>1885</v>
      </c>
      <c r="C138" s="160" t="s">
        <v>1568</v>
      </c>
      <c r="M138" s="8"/>
      <c r="N138" s="252" t="s">
        <v>1885</v>
      </c>
      <c r="O138" s="1184" t="s">
        <v>2253</v>
      </c>
      <c r="P138" s="355"/>
    </row>
    <row r="139" spans="1:17" ht="12" customHeight="1">
      <c r="A139" s="256" t="s">
        <v>2055</v>
      </c>
      <c r="B139" s="737" t="s">
        <v>3061</v>
      </c>
      <c r="C139" s="256" t="s">
        <v>3357</v>
      </c>
      <c r="D139" s="159"/>
      <c r="E139" s="159"/>
      <c r="M139" s="3">
        <v>3</v>
      </c>
      <c r="N139" s="62" t="s">
        <v>3061</v>
      </c>
      <c r="O139" s="697">
        <f>IF($M140=4,3,IF($M140=3,2,IF($M140=2,1,0)))</f>
        <v>3</v>
      </c>
      <c r="P139" s="697">
        <f>IF($M140=4,3,IF($M140=3,2,IF($M140=2,1,0)))</f>
        <v>3</v>
      </c>
    </row>
    <row r="140" spans="1:17" ht="12" customHeight="1">
      <c r="B140" s="125"/>
      <c r="D140" s="42"/>
      <c r="E140" s="42"/>
      <c r="F140" s="42"/>
      <c r="G140" s="50"/>
      <c r="H140" s="50"/>
      <c r="I140" s="50"/>
      <c r="J140" s="50"/>
      <c r="L140" s="592" t="s">
        <v>734</v>
      </c>
      <c r="M140" s="1166">
        <v>4</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2920</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3724</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3793</v>
      </c>
    </row>
    <row r="148" spans="1:17" ht="11.45" customHeight="1">
      <c r="A148" s="566" t="s">
        <v>3680</v>
      </c>
      <c r="B148" s="567" t="s">
        <v>3725</v>
      </c>
      <c r="D148" s="137"/>
      <c r="M148" s="589"/>
      <c r="N148" s="566"/>
      <c r="O148" s="566" t="s">
        <v>3680</v>
      </c>
      <c r="P148" s="354"/>
    </row>
    <row r="149" spans="1:17" ht="23.45" customHeight="1">
      <c r="A149" s="593" t="s">
        <v>3681</v>
      </c>
      <c r="B149" s="1055" t="s">
        <v>3726</v>
      </c>
      <c r="C149" s="1039"/>
      <c r="D149" s="1039"/>
      <c r="E149" s="1039"/>
      <c r="F149" s="1039"/>
      <c r="G149" s="1039"/>
      <c r="H149" s="1039"/>
      <c r="I149" s="1039"/>
      <c r="J149" s="1039"/>
      <c r="K149" s="1039"/>
      <c r="L149" s="1039"/>
      <c r="M149" s="1039"/>
      <c r="N149" s="1039"/>
      <c r="O149" s="566" t="s">
        <v>3681</v>
      </c>
      <c r="P149" s="551"/>
    </row>
    <row r="150" spans="1:17" ht="11.45" customHeight="1">
      <c r="A150" s="566" t="s">
        <v>3682</v>
      </c>
      <c r="B150" s="567" t="s">
        <v>3727</v>
      </c>
      <c r="M150" s="589"/>
      <c r="N150" s="566"/>
      <c r="O150" s="566" t="s">
        <v>3682</v>
      </c>
      <c r="P150" s="551"/>
    </row>
    <row r="151" spans="1:17" ht="11.45" customHeight="1">
      <c r="A151" s="566" t="s">
        <v>3683</v>
      </c>
      <c r="B151" s="72" t="s">
        <v>3338</v>
      </c>
      <c r="M151" s="589"/>
      <c r="N151" s="566"/>
      <c r="O151" s="566" t="s">
        <v>3683</v>
      </c>
      <c r="P151" s="551"/>
    </row>
    <row r="152" spans="1:17" ht="23.45" customHeight="1">
      <c r="A152" s="593" t="s">
        <v>3684</v>
      </c>
      <c r="B152" s="1055" t="s">
        <v>3339</v>
      </c>
      <c r="C152" s="1039"/>
      <c r="D152" s="1039"/>
      <c r="E152" s="1039"/>
      <c r="F152" s="1039"/>
      <c r="G152" s="1039"/>
      <c r="H152" s="1039"/>
      <c r="I152" s="1039"/>
      <c r="J152" s="1039"/>
      <c r="K152" s="1039"/>
      <c r="L152" s="1039"/>
      <c r="M152" s="1039"/>
      <c r="N152" s="1039"/>
      <c r="O152" s="566" t="s">
        <v>3684</v>
      </c>
      <c r="P152" s="551"/>
    </row>
    <row r="153" spans="1:17" ht="11.45" customHeight="1">
      <c r="A153" s="566" t="s">
        <v>3707</v>
      </c>
      <c r="B153" s="567" t="s">
        <v>3340</v>
      </c>
      <c r="M153" s="589"/>
      <c r="N153" s="566"/>
      <c r="O153" s="566" t="s">
        <v>3707</v>
      </c>
      <c r="P153" s="551"/>
    </row>
    <row r="154" spans="1:17" ht="11.45" customHeight="1">
      <c r="A154" s="566" t="s">
        <v>3708</v>
      </c>
      <c r="B154" s="567" t="s">
        <v>2667</v>
      </c>
      <c r="M154" s="589"/>
      <c r="N154" s="566"/>
      <c r="O154" s="566" t="s">
        <v>3708</v>
      </c>
      <c r="P154" s="551"/>
    </row>
    <row r="155" spans="1:17" ht="11.45" customHeight="1">
      <c r="A155" s="566" t="s">
        <v>3715</v>
      </c>
      <c r="B155" s="72" t="s">
        <v>2668</v>
      </c>
      <c r="M155" s="589"/>
      <c r="N155" s="566"/>
      <c r="O155" s="566" t="s">
        <v>3715</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2920</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3058</v>
      </c>
      <c r="C167" s="238" t="s">
        <v>3359</v>
      </c>
      <c r="D167" s="76"/>
      <c r="E167" s="76"/>
      <c r="G167" s="31"/>
      <c r="K167" s="62" t="s">
        <v>2215</v>
      </c>
      <c r="L167" s="1166" t="s">
        <v>3918</v>
      </c>
      <c r="M167" s="8">
        <v>1</v>
      </c>
      <c r="N167" s="62" t="s">
        <v>3058</v>
      </c>
      <c r="O167" s="1162">
        <v>1</v>
      </c>
      <c r="P167" s="89"/>
      <c r="Q167" s="146"/>
      <c r="R167" s="573" t="str">
        <f>IF(OR($O167=$M167,$O167=0,$O167=""),"","* * Check Score! * *")</f>
        <v/>
      </c>
    </row>
    <row r="168" spans="1:18" s="53" customFormat="1" ht="12" customHeight="1">
      <c r="B168" s="737" t="s">
        <v>3061</v>
      </c>
      <c r="C168" s="238" t="s">
        <v>3360</v>
      </c>
      <c r="D168" s="72"/>
      <c r="E168" s="40"/>
      <c r="F168" s="72"/>
      <c r="K168" s="65"/>
      <c r="L168" s="573" t="str">
        <f>IF(OR($O168=$M168,$O168=0,$O168=""),"","* * Check Score! * *")</f>
        <v/>
      </c>
      <c r="M168" s="8">
        <v>1</v>
      </c>
      <c r="N168" s="62" t="s">
        <v>3061</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2920</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3663</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7" t="s">
        <v>3058</v>
      </c>
      <c r="C176" s="238" t="s">
        <v>2840</v>
      </c>
      <c r="D176" s="158"/>
      <c r="E176" s="158"/>
      <c r="F176" s="51"/>
      <c r="H176" s="49"/>
      <c r="I176" s="49"/>
      <c r="J176" s="49"/>
      <c r="K176" s="49"/>
      <c r="L176" s="573" t="str">
        <f>IF($O176&lt;=$M176,"","* * Check Score! * *")</f>
        <v/>
      </c>
      <c r="M176" s="3">
        <v>3</v>
      </c>
      <c r="N176" s="83" t="s">
        <v>3058</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3062</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3064</v>
      </c>
      <c r="C179" s="1068" t="s">
        <v>2900</v>
      </c>
      <c r="D179" s="1068"/>
      <c r="E179" s="1068"/>
      <c r="F179" s="1068"/>
      <c r="G179" s="1068"/>
      <c r="H179" s="1068"/>
      <c r="I179" s="1068"/>
      <c r="J179" s="1068"/>
      <c r="K179" s="1068"/>
      <c r="L179" s="1068"/>
      <c r="M179" s="694">
        <v>1</v>
      </c>
    </row>
    <row r="180" spans="1:18" ht="12" customHeight="1">
      <c r="B180" s="737" t="s">
        <v>3061</v>
      </c>
      <c r="C180" s="238" t="s">
        <v>2669</v>
      </c>
      <c r="D180" s="42"/>
      <c r="E180" s="42"/>
      <c r="F180" s="42"/>
      <c r="G180" s="157"/>
      <c r="H180" s="42"/>
      <c r="I180" s="42"/>
      <c r="J180" s="42"/>
      <c r="K180" s="42"/>
      <c r="L180" s="42"/>
      <c r="M180" s="1">
        <v>6</v>
      </c>
      <c r="N180" s="62" t="s">
        <v>3061</v>
      </c>
      <c r="O180" s="128">
        <f>IF((O181+O182+O183)=7,5,MIN($M180,(O181+O182+O183)))</f>
        <v>0</v>
      </c>
      <c r="P180" s="128">
        <f>IF((P181+P182+P183)=7,5,MIN($M180,(P181+P182+P183)))</f>
        <v>0</v>
      </c>
      <c r="R180" s="573" t="str">
        <f>IF(OR($O180=$M180,$O180=0,$O180=""),"","* * Check Score! * *")</f>
        <v/>
      </c>
    </row>
    <row r="181" spans="1:18" s="137" customFormat="1" ht="11.45" customHeight="1">
      <c r="B181" s="252" t="s">
        <v>3062</v>
      </c>
      <c r="C181" s="160" t="s">
        <v>2671</v>
      </c>
      <c r="L181" s="573"/>
      <c r="M181" s="8">
        <v>6</v>
      </c>
      <c r="N181" s="252" t="s">
        <v>3062</v>
      </c>
      <c r="O181" s="1162"/>
      <c r="P181" s="89"/>
    </row>
    <row r="182" spans="1:18" s="137" customFormat="1" ht="11.45" customHeight="1">
      <c r="B182" s="252" t="s">
        <v>3064</v>
      </c>
      <c r="C182" s="160" t="s">
        <v>2672</v>
      </c>
      <c r="L182" s="573" t="str">
        <f>IF(OR($O182=$M182,$O182=0,$O182=""),"","* * Check Score! * *")</f>
        <v/>
      </c>
      <c r="M182" s="8">
        <v>2</v>
      </c>
      <c r="N182" s="252" t="s">
        <v>3064</v>
      </c>
      <c r="O182" s="1162"/>
      <c r="P182" s="89"/>
    </row>
    <row r="183" spans="1:18" s="137" customFormat="1" ht="11.45" customHeight="1">
      <c r="B183" s="252" t="s">
        <v>3821</v>
      </c>
      <c r="C183" s="160" t="s">
        <v>2670</v>
      </c>
      <c r="L183" s="573" t="str">
        <f>IF(OR($O183=$M183,$O183=0,$O183=""),"","* * Check Score! * *")</f>
        <v/>
      </c>
      <c r="M183" s="8">
        <v>2</v>
      </c>
      <c r="N183" s="252" t="s">
        <v>3821</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2920</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0</v>
      </c>
      <c r="P191" s="96">
        <f>MIN($M191,P193+P192)</f>
        <v>0</v>
      </c>
      <c r="Q191" s="146" t="s">
        <v>651</v>
      </c>
    </row>
    <row r="192" spans="1:18" s="53" customFormat="1" ht="12" customHeight="1">
      <c r="A192" s="189" t="s">
        <v>3058</v>
      </c>
      <c r="B192" s="398" t="s">
        <v>922</v>
      </c>
      <c r="D192" s="42"/>
      <c r="E192" s="42"/>
      <c r="F192" s="42"/>
      <c r="L192" s="573" t="str">
        <f>IF(OR($O192=$M192,$O192=0,$O192=""),"","* * Check Score! * *")</f>
        <v/>
      </c>
      <c r="M192" s="7">
        <v>3</v>
      </c>
      <c r="N192" s="62" t="s">
        <v>3058</v>
      </c>
      <c r="O192" s="1162"/>
      <c r="P192" s="89"/>
      <c r="Q192" s="146"/>
      <c r="R192" s="573" t="str">
        <f>IF(OR($O192=$M192,$O192=0,$O192=""),"","* * Check Score! * *")</f>
        <v/>
      </c>
    </row>
    <row r="193" spans="1:18" s="53" customFormat="1" ht="12" customHeight="1">
      <c r="A193" s="189" t="s">
        <v>3061</v>
      </c>
      <c r="B193" s="398" t="s">
        <v>2866</v>
      </c>
      <c r="D193" s="50"/>
      <c r="E193" s="50"/>
      <c r="F193" s="40"/>
      <c r="G193" s="139"/>
      <c r="H193" s="139"/>
      <c r="I193" s="139"/>
      <c r="J193" s="139"/>
      <c r="K193" s="139"/>
      <c r="L193" s="573" t="str">
        <f>IF(OR($O193=$M193,$O193=0,$O193=""),"","* * Check Score! * *")</f>
        <v/>
      </c>
      <c r="M193" s="7">
        <v>2</v>
      </c>
      <c r="N193" s="62" t="s">
        <v>3061</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2920</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3058</v>
      </c>
      <c r="B200" s="147" t="s">
        <v>2674</v>
      </c>
      <c r="D200" s="42"/>
      <c r="E200" s="42"/>
      <c r="F200" s="42"/>
      <c r="L200" s="573" t="str">
        <f>IF(OR($O200=$M200,$O200=0,$O200=""),"","* * Check Score! * *")</f>
        <v/>
      </c>
      <c r="M200" s="7">
        <v>2</v>
      </c>
      <c r="N200" s="62" t="s">
        <v>3058</v>
      </c>
      <c r="O200" s="1162">
        <v>2</v>
      </c>
      <c r="P200" s="89"/>
      <c r="Q200" s="146"/>
      <c r="R200" s="573" t="str">
        <f>IF(OR($O200=$M200,$O200=0,$O200=""),"","* * Check Score! * *")</f>
        <v/>
      </c>
    </row>
    <row r="201" spans="1:18" s="53" customFormat="1" ht="12" customHeight="1">
      <c r="A201" s="189" t="s">
        <v>3061</v>
      </c>
      <c r="B201" s="147" t="s">
        <v>2675</v>
      </c>
      <c r="D201" s="50"/>
      <c r="E201" s="50"/>
      <c r="F201" s="40"/>
      <c r="G201" s="139"/>
      <c r="H201" s="139"/>
      <c r="I201" s="139"/>
      <c r="J201" s="139"/>
      <c r="K201" s="139"/>
      <c r="L201" s="46"/>
      <c r="M201" s="7">
        <v>1</v>
      </c>
      <c r="N201" s="62" t="s">
        <v>3061</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2920</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2676</v>
      </c>
      <c r="B207" s="142" t="s">
        <v>1037</v>
      </c>
      <c r="G207" s="158"/>
      <c r="H207" s="158"/>
      <c r="I207" s="158"/>
      <c r="J207" s="263" t="s">
        <v>3640</v>
      </c>
      <c r="K207" s="158"/>
      <c r="L207" s="573" t="str">
        <f>IF(OR($O207=$M207,$O207=0,$O207=2,$O207=""),"","* * Check Score! * *")</f>
        <v/>
      </c>
      <c r="M207" s="3">
        <v>3</v>
      </c>
      <c r="N207" s="7"/>
      <c r="O207" s="81">
        <f>IF(OR(AND(J209=2,M209=3),AND(J209="",M209=3)),3,IF(AND(J209=3,M209=2),2,0))</f>
        <v>3</v>
      </c>
      <c r="P207" s="89"/>
      <c r="Q207" s="146" t="s">
        <v>651</v>
      </c>
      <c r="R207" s="31"/>
    </row>
    <row r="208" spans="1:18" s="78" customFormat="1" ht="25.15" customHeight="1">
      <c r="A208" s="210"/>
      <c r="B208" s="1071"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199"/>
      <c r="E209" s="1200"/>
      <c r="F209" s="1200"/>
      <c r="G209" s="1201"/>
      <c r="I209" s="702" t="s">
        <v>1572</v>
      </c>
      <c r="J209" s="1166"/>
      <c r="L209" s="702" t="s">
        <v>1573</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2920</v>
      </c>
      <c r="M210" s="56"/>
      <c r="N210" s="77"/>
      <c r="O210" s="4"/>
      <c r="P210" s="33"/>
    </row>
    <row r="211" spans="1:18" s="53" customFormat="1" ht="25.15" customHeight="1">
      <c r="A211" s="1159"/>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v>1</v>
      </c>
      <c r="P213" s="89"/>
      <c r="Q213" s="146" t="s">
        <v>651</v>
      </c>
    </row>
    <row r="214" spans="1:18" s="53" customFormat="1" ht="12.6" customHeight="1">
      <c r="A214" s="52"/>
      <c r="B214" s="153" t="s">
        <v>2891</v>
      </c>
      <c r="D214" s="139"/>
      <c r="E214" s="1202" t="s">
        <v>3998</v>
      </c>
      <c r="F214" s="1203"/>
      <c r="G214" s="1204"/>
      <c r="H214" s="1205"/>
      <c r="I214" s="64" t="s">
        <v>2890</v>
      </c>
      <c r="O214" s="161" t="s">
        <v>3793</v>
      </c>
      <c r="P214" s="161" t="s">
        <v>3793</v>
      </c>
    </row>
    <row r="215" spans="1:18" s="137" customFormat="1" ht="11.45" customHeight="1">
      <c r="B215" s="566" t="s">
        <v>3680</v>
      </c>
      <c r="C215" s="160" t="s">
        <v>2679</v>
      </c>
      <c r="D215" s="160"/>
      <c r="E215" s="160"/>
      <c r="F215" s="160"/>
      <c r="G215" s="1206" t="s">
        <v>2548</v>
      </c>
      <c r="H215" s="1207"/>
      <c r="I215" s="1208"/>
      <c r="J215" s="1206" t="s">
        <v>1837</v>
      </c>
      <c r="K215" s="1207"/>
      <c r="L215" s="1208"/>
      <c r="N215" s="566" t="s">
        <v>3680</v>
      </c>
      <c r="O215" s="1166" t="s">
        <v>3918</v>
      </c>
      <c r="P215" s="234"/>
    </row>
    <row r="216" spans="1:18" s="137" customFormat="1" ht="11.45" customHeight="1">
      <c r="B216" s="566" t="s">
        <v>3681</v>
      </c>
      <c r="C216" s="160" t="s">
        <v>505</v>
      </c>
      <c r="D216" s="160"/>
      <c r="E216" s="160"/>
      <c r="F216" s="160"/>
      <c r="G216" s="160"/>
      <c r="L216" s="160"/>
      <c r="M216" s="160"/>
      <c r="N216" s="566" t="s">
        <v>3681</v>
      </c>
      <c r="O216" s="1166" t="s">
        <v>3918</v>
      </c>
      <c r="P216" s="234"/>
    </row>
    <row r="217" spans="1:18" s="137" customFormat="1" ht="11.45" customHeight="1">
      <c r="B217" s="566" t="s">
        <v>3682</v>
      </c>
      <c r="C217" s="160" t="s">
        <v>2624</v>
      </c>
      <c r="D217" s="160"/>
      <c r="E217" s="160"/>
      <c r="F217" s="160"/>
      <c r="G217" s="160"/>
      <c r="H217" s="160"/>
      <c r="L217" s="160"/>
      <c r="M217" s="160"/>
      <c r="N217" s="566" t="s">
        <v>3682</v>
      </c>
      <c r="O217" s="1166" t="s">
        <v>3918</v>
      </c>
      <c r="P217" s="234"/>
    </row>
    <row r="218" spans="1:18" s="137" customFormat="1" ht="11.45" customHeight="1">
      <c r="B218" s="566" t="s">
        <v>3683</v>
      </c>
      <c r="C218" s="160" t="s">
        <v>3489</v>
      </c>
      <c r="D218" s="160"/>
      <c r="E218" s="160"/>
      <c r="F218" s="160"/>
      <c r="G218" s="160"/>
      <c r="H218" s="160"/>
      <c r="I218" s="160"/>
      <c r="J218" s="160"/>
      <c r="K218" s="160"/>
      <c r="L218" s="160"/>
      <c r="M218" s="160"/>
      <c r="N218" s="566" t="s">
        <v>3683</v>
      </c>
      <c r="O218" s="1166" t="s">
        <v>3918</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2920</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869</v>
      </c>
      <c r="E229" s="120"/>
      <c r="F229" s="65"/>
      <c r="G229" s="65"/>
      <c r="H229" s="65"/>
      <c r="I229" s="65"/>
      <c r="J229" s="67"/>
      <c r="K229" s="75"/>
      <c r="L229" s="71" t="str">
        <f>IF(M229&gt;14,"Over limit!","")</f>
        <v/>
      </c>
      <c r="N229" s="252" t="s">
        <v>3062</v>
      </c>
      <c r="O229" s="1166" t="s">
        <v>2253</v>
      </c>
      <c r="P229" s="234"/>
    </row>
    <row r="230" spans="1:18" s="137" customFormat="1" ht="12" customHeight="1">
      <c r="B230" s="252" t="s">
        <v>3064</v>
      </c>
      <c r="C230" s="137" t="s">
        <v>870</v>
      </c>
      <c r="N230" s="252" t="s">
        <v>3064</v>
      </c>
      <c r="O230" s="1166" t="s">
        <v>2253</v>
      </c>
      <c r="P230" s="234"/>
    </row>
    <row r="231" spans="1:18" s="137" customFormat="1" ht="12" customHeight="1">
      <c r="B231" s="252" t="s">
        <v>3821</v>
      </c>
      <c r="C231" s="137" t="s">
        <v>871</v>
      </c>
      <c r="N231" s="252" t="s">
        <v>3821</v>
      </c>
      <c r="O231" s="1166" t="s">
        <v>2253</v>
      </c>
      <c r="P231" s="234"/>
    </row>
    <row r="232" spans="1:18" s="137" customFormat="1" ht="12" customHeight="1">
      <c r="B232" s="252" t="s">
        <v>1885</v>
      </c>
      <c r="C232" s="137" t="s">
        <v>872</v>
      </c>
      <c r="N232" s="252" t="s">
        <v>1885</v>
      </c>
      <c r="O232" s="1166" t="s">
        <v>2253</v>
      </c>
      <c r="P232" s="234"/>
    </row>
    <row r="233" spans="1:18" s="137" customFormat="1" ht="12" customHeight="1">
      <c r="B233" s="252" t="s">
        <v>1886</v>
      </c>
      <c r="C233" s="137" t="s">
        <v>884</v>
      </c>
      <c r="N233" s="252" t="s">
        <v>1886</v>
      </c>
      <c r="O233" s="1166" t="s">
        <v>2253</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0</v>
      </c>
      <c r="P235" s="205">
        <f>MIN($M235,SUM(P236:P243))</f>
        <v>0</v>
      </c>
    </row>
    <row r="236" spans="1:18" s="53" customFormat="1" ht="12" customHeight="1">
      <c r="A236" s="253"/>
      <c r="B236" s="252" t="s">
        <v>3062</v>
      </c>
      <c r="C236" s="46" t="s">
        <v>2216</v>
      </c>
      <c r="H236" s="68" t="s">
        <v>2217</v>
      </c>
      <c r="K236" s="255"/>
      <c r="L236" s="573" t="str">
        <f t="shared" ref="L236:L243" si="1">IF(OR($O236=$M236,$O236=0,$O236=""),"","* * Check Score! * *")</f>
        <v/>
      </c>
      <c r="M236" s="7">
        <v>1</v>
      </c>
      <c r="N236" s="252" t="s">
        <v>3062</v>
      </c>
      <c r="O236" s="1166"/>
      <c r="P236" s="89"/>
      <c r="R236" s="573" t="str">
        <f>IF(OR($O236=$M236,$O236=0,$O236=""),"","* * Check Score! * *")</f>
        <v/>
      </c>
    </row>
    <row r="237" spans="1:18" ht="12" customHeight="1">
      <c r="A237" s="254"/>
      <c r="B237" s="252" t="s">
        <v>3064</v>
      </c>
      <c r="C237" s="46" t="s">
        <v>2220</v>
      </c>
      <c r="H237" s="68" t="s">
        <v>2217</v>
      </c>
      <c r="L237" s="573" t="str">
        <f t="shared" si="1"/>
        <v/>
      </c>
      <c r="M237" s="7">
        <v>1</v>
      </c>
      <c r="N237" s="252" t="s">
        <v>3064</v>
      </c>
      <c r="O237" s="1166"/>
      <c r="P237" s="89"/>
      <c r="R237" s="573" t="str">
        <f t="shared" ref="R237:R243" si="2">IF(OR($O237=$M237,$O237=0,$O237=""),"","* * Check Score! * *")</f>
        <v/>
      </c>
    </row>
    <row r="238" spans="1:18" ht="12" customHeight="1">
      <c r="B238" s="252" t="s">
        <v>3821</v>
      </c>
      <c r="C238" s="46" t="s">
        <v>2224</v>
      </c>
      <c r="H238" s="68" t="s">
        <v>2217</v>
      </c>
      <c r="L238" s="573" t="str">
        <f>IF(OR($O238=$M238,$O238=0,$O238=""),"","* * Check Score! * *")</f>
        <v/>
      </c>
      <c r="M238" s="7">
        <v>1</v>
      </c>
      <c r="N238" s="252" t="s">
        <v>3821</v>
      </c>
      <c r="O238" s="1166"/>
      <c r="P238" s="89"/>
      <c r="R238" s="573" t="str">
        <f>IF(OR($O238=$M238,$O238=0,$O238=""),"","* * Check Score! * *")</f>
        <v/>
      </c>
    </row>
    <row r="239" spans="1:18" ht="12" customHeight="1">
      <c r="A239" s="254"/>
      <c r="B239" s="252" t="s">
        <v>1885</v>
      </c>
      <c r="C239" s="46" t="s">
        <v>873</v>
      </c>
      <c r="L239" s="573" t="str">
        <f t="shared" si="1"/>
        <v/>
      </c>
      <c r="M239" s="7">
        <v>1</v>
      </c>
      <c r="N239" s="252" t="s">
        <v>1885</v>
      </c>
      <c r="O239" s="1166"/>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c r="P240" s="89"/>
      <c r="R240" s="573" t="str">
        <f t="shared" si="2"/>
        <v/>
      </c>
    </row>
    <row r="241" spans="1:18" ht="12" customHeight="1">
      <c r="A241" s="254"/>
      <c r="B241" s="252" t="s">
        <v>2941</v>
      </c>
      <c r="C241" s="46" t="s">
        <v>2222</v>
      </c>
      <c r="H241" s="68" t="s">
        <v>2218</v>
      </c>
      <c r="L241" s="573" t="str">
        <f t="shared" si="1"/>
        <v/>
      </c>
      <c r="M241" s="7">
        <v>2</v>
      </c>
      <c r="N241" s="252" t="s">
        <v>2941</v>
      </c>
      <c r="O241" s="1166"/>
      <c r="P241" s="89"/>
      <c r="R241" s="573" t="str">
        <f t="shared" si="2"/>
        <v/>
      </c>
    </row>
    <row r="242" spans="1:18" ht="12" customHeight="1">
      <c r="A242" s="254"/>
      <c r="B242" s="252" t="s">
        <v>743</v>
      </c>
      <c r="C242" s="46" t="s">
        <v>2223</v>
      </c>
      <c r="H242" s="68" t="s">
        <v>2218</v>
      </c>
      <c r="L242" s="573" t="str">
        <f t="shared" si="1"/>
        <v/>
      </c>
      <c r="M242" s="7">
        <v>2</v>
      </c>
      <c r="N242" s="252" t="s">
        <v>743</v>
      </c>
      <c r="O242" s="1166"/>
      <c r="P242" s="89"/>
      <c r="R242" s="573" t="str">
        <f t="shared" si="2"/>
        <v/>
      </c>
    </row>
    <row r="243" spans="1:18" ht="12" customHeight="1">
      <c r="A243" s="254"/>
      <c r="B243" s="252" t="s">
        <v>744</v>
      </c>
      <c r="C243" s="46" t="s">
        <v>2225</v>
      </c>
      <c r="H243" s="68" t="s">
        <v>2219</v>
      </c>
      <c r="L243" s="573" t="str">
        <f t="shared" si="1"/>
        <v/>
      </c>
      <c r="M243" s="7">
        <v>3</v>
      </c>
      <c r="N243" s="252" t="s">
        <v>744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3061</v>
      </c>
      <c r="B245" s="258" t="s">
        <v>2894</v>
      </c>
      <c r="D245" s="49"/>
      <c r="E245" s="46"/>
      <c r="F245" s="1"/>
      <c r="G245" s="1"/>
      <c r="H245" s="46" t="s">
        <v>2895</v>
      </c>
      <c r="I245" s="1"/>
      <c r="J245" s="40"/>
      <c r="K245" s="40"/>
      <c r="L245" s="40"/>
      <c r="M245" s="3">
        <v>3</v>
      </c>
      <c r="N245" s="62" t="s">
        <v>3061</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c r="P247" s="89"/>
      <c r="R247" s="573" t="str">
        <f>IF(OR($O247=$M247,$O247=0,$O247=""),"","* * Check Score! * *")</f>
        <v/>
      </c>
    </row>
    <row r="248" spans="1:18" s="53" customFormat="1" ht="12.6" customHeight="1">
      <c r="A248" s="253"/>
      <c r="B248" s="252" t="s">
        <v>3062</v>
      </c>
      <c r="C248" s="46" t="s">
        <v>983</v>
      </c>
      <c r="E248" s="1209"/>
      <c r="F248" s="1210"/>
      <c r="G248" s="1210"/>
      <c r="H248" s="1211"/>
      <c r="K248" s="255"/>
      <c r="M248" s="7"/>
      <c r="N248" s="7"/>
      <c r="O248" s="7"/>
      <c r="P248" s="7"/>
    </row>
    <row r="249" spans="1:18" ht="33" customHeight="1">
      <c r="A249" s="254"/>
      <c r="B249" s="596" t="s">
        <v>3064</v>
      </c>
      <c r="C249" s="597" t="s">
        <v>3559</v>
      </c>
      <c r="D249" s="598"/>
      <c r="E249" s="1212"/>
      <c r="F249" s="1213"/>
      <c r="G249" s="1213"/>
      <c r="H249" s="1213"/>
      <c r="I249" s="1213"/>
      <c r="J249" s="1213"/>
      <c r="K249" s="1213"/>
      <c r="L249" s="1213"/>
      <c r="M249" s="1213"/>
      <c r="N249" s="1213"/>
      <c r="O249" s="1213"/>
      <c r="P249" s="1214"/>
    </row>
    <row r="250" spans="1:18" ht="12.6" customHeight="1">
      <c r="B250" s="252" t="s">
        <v>3821</v>
      </c>
      <c r="C250" s="46" t="s">
        <v>984</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2920</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1166" t="s">
        <v>3919</v>
      </c>
      <c r="P260" s="234"/>
    </row>
    <row r="261" spans="1:18" s="53" customFormat="1" ht="24.6" customHeight="1">
      <c r="A261" s="52"/>
      <c r="B261" s="1069" t="s">
        <v>3916</v>
      </c>
      <c r="C261" s="1070"/>
      <c r="D261" s="1070"/>
      <c r="E261" s="1070"/>
      <c r="F261" s="1070"/>
      <c r="G261" s="1070"/>
      <c r="H261" s="1070"/>
      <c r="I261" s="1070"/>
      <c r="J261" s="1070"/>
      <c r="K261" s="1070"/>
      <c r="L261" s="1070"/>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2920</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2687</v>
      </c>
      <c r="D271" s="42"/>
      <c r="E271" s="42"/>
      <c r="F271" s="42"/>
      <c r="L271" s="573" t="str">
        <f>IF(OR($O271=$M271,$O271=0,$O271=""),"","* * Check Score! * *")</f>
        <v/>
      </c>
      <c r="M271" s="7">
        <v>3</v>
      </c>
      <c r="N271" s="62" t="s">
        <v>3058</v>
      </c>
      <c r="O271" s="1162">
        <v>3</v>
      </c>
      <c r="P271" s="89"/>
      <c r="Q271" s="146"/>
      <c r="R271" s="573" t="str">
        <f>IF(OR($O271=$M271,$O271=0,$O271=""),"","* * Check Score! * *")</f>
        <v/>
      </c>
    </row>
    <row r="272" spans="1:18" s="53" customFormat="1" ht="12" customHeight="1">
      <c r="A272" s="189" t="s">
        <v>3061</v>
      </c>
      <c r="B272" s="147" t="s">
        <v>2688</v>
      </c>
      <c r="D272" s="50"/>
      <c r="E272" s="50"/>
      <c r="F272" s="40"/>
      <c r="G272" s="139"/>
      <c r="H272" s="139"/>
      <c r="I272" s="139"/>
      <c r="J272" s="139"/>
      <c r="K272" s="139"/>
      <c r="L272" s="46"/>
      <c r="M272" s="7">
        <v>3</v>
      </c>
      <c r="N272" s="62" t="s">
        <v>3061</v>
      </c>
      <c r="O272" s="1162">
        <v>3</v>
      </c>
      <c r="P272" s="89"/>
      <c r="R272" s="573" t="str">
        <f>IF(OR($O272=$M272,$O272=0,$O272=""),"","* * Check Score! * *")</f>
        <v/>
      </c>
    </row>
    <row r="273" spans="1:18" s="53" customFormat="1" ht="22.9" customHeight="1">
      <c r="A273" s="189"/>
      <c r="B273" s="1066" t="s">
        <v>3517</v>
      </c>
      <c r="C273" s="1067"/>
      <c r="D273" s="1067"/>
      <c r="E273" s="1067"/>
      <c r="F273" s="1067"/>
      <c r="G273" s="1067"/>
      <c r="H273" s="1067"/>
      <c r="I273" s="1067"/>
      <c r="J273" s="1067"/>
      <c r="K273" s="1067"/>
      <c r="L273" s="1067"/>
      <c r="M273" s="1067"/>
      <c r="N273" s="62"/>
      <c r="O273" s="1166" t="s">
        <v>3980</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2920</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3835</v>
      </c>
      <c r="M281" s="52"/>
      <c r="N281" s="52"/>
      <c r="O281" s="1166" t="s">
        <v>3918</v>
      </c>
      <c r="P281" s="234"/>
    </row>
    <row r="282" spans="1:18" s="45" customFormat="1" ht="3" customHeight="1">
      <c r="M282" s="52"/>
      <c r="N282" s="52"/>
      <c r="O282" s="52"/>
      <c r="P282" s="52"/>
    </row>
    <row r="283" spans="1:18" ht="12.6" customHeight="1">
      <c r="B283" s="258" t="s">
        <v>3058</v>
      </c>
      <c r="C283" s="256" t="s">
        <v>2160</v>
      </c>
      <c r="D283" s="42"/>
      <c r="E283" s="42"/>
      <c r="F283" s="42"/>
      <c r="G283" s="42"/>
      <c r="H283" s="42"/>
      <c r="I283" s="42"/>
      <c r="J283" s="42"/>
      <c r="K283" s="42"/>
      <c r="L283" s="42"/>
      <c r="M283" s="156"/>
      <c r="N283" s="62" t="s">
        <v>3058</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347</v>
      </c>
      <c r="D285" s="42"/>
      <c r="E285" s="42"/>
      <c r="F285" s="42"/>
      <c r="G285" s="50"/>
      <c r="H285" s="50"/>
      <c r="I285" s="50"/>
      <c r="J285" s="50"/>
      <c r="K285" s="50"/>
      <c r="M285" s="139"/>
      <c r="N285" s="62" t="s">
        <v>3061</v>
      </c>
      <c r="O285" s="1166" t="s">
        <v>3999</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998" t="s">
        <v>1932</v>
      </c>
      <c r="R288" s="998"/>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2920</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1932</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58</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3183</v>
      </c>
      <c r="D301" s="166"/>
      <c r="E301" s="166"/>
      <c r="F301" s="166"/>
      <c r="G301" s="166"/>
      <c r="H301" s="166"/>
      <c r="I301" s="166"/>
      <c r="J301" s="166" t="s">
        <v>2800</v>
      </c>
      <c r="K301" s="166"/>
      <c r="L301" s="166"/>
      <c r="M301" s="155"/>
      <c r="Q301" s="155"/>
      <c r="R301" s="155"/>
      <c r="S301" s="155"/>
    </row>
    <row r="302" spans="1:19" ht="15">
      <c r="A302" s="155"/>
      <c r="B302" s="155"/>
      <c r="C302" s="113" t="s">
        <v>3841</v>
      </c>
      <c r="D302" s="113"/>
      <c r="E302" s="113"/>
      <c r="F302" s="113"/>
      <c r="G302" s="113"/>
      <c r="H302" s="113"/>
      <c r="I302" s="113"/>
      <c r="J302" s="358" t="s">
        <v>294</v>
      </c>
      <c r="K302" s="209"/>
      <c r="L302" s="166"/>
      <c r="M302" s="250"/>
      <c r="N302" s="251"/>
      <c r="Q302" s="155"/>
      <c r="R302" s="155"/>
      <c r="S302" s="155"/>
    </row>
    <row r="303" spans="1:19" ht="15">
      <c r="A303" s="155"/>
      <c r="B303" s="155"/>
      <c r="C303" s="113" t="s">
        <v>3184</v>
      </c>
      <c r="D303" s="113"/>
      <c r="E303" s="113"/>
      <c r="F303" s="113"/>
      <c r="G303" s="113"/>
      <c r="H303" s="113"/>
      <c r="I303" s="113"/>
      <c r="J303" s="358" t="s">
        <v>2636</v>
      </c>
      <c r="K303" s="209"/>
      <c r="L303" s="166"/>
      <c r="M303" s="250"/>
      <c r="N303" s="251"/>
      <c r="Q303" s="155"/>
      <c r="R303" s="155"/>
      <c r="S303" s="155"/>
    </row>
    <row r="304" spans="1:19" ht="15">
      <c r="A304" s="155"/>
      <c r="B304" s="155"/>
      <c r="C304" s="113" t="s">
        <v>3185</v>
      </c>
      <c r="D304" s="113"/>
      <c r="E304" s="113"/>
      <c r="F304" s="113"/>
      <c r="G304" s="113"/>
      <c r="H304" s="113"/>
      <c r="I304" s="113"/>
      <c r="J304" s="358" t="s">
        <v>2637</v>
      </c>
      <c r="K304" s="209"/>
      <c r="L304" s="166"/>
      <c r="M304" s="250"/>
      <c r="N304" s="251"/>
      <c r="Q304" s="155"/>
      <c r="R304" s="155"/>
      <c r="S304" s="155"/>
    </row>
    <row r="305" spans="1:19" ht="15">
      <c r="A305" s="155"/>
      <c r="B305" s="155"/>
      <c r="C305" s="359" t="s">
        <v>3186</v>
      </c>
      <c r="D305" s="113"/>
      <c r="E305" s="113"/>
      <c r="F305" s="113"/>
      <c r="G305" s="113"/>
      <c r="H305" s="113"/>
      <c r="I305" s="113"/>
      <c r="J305" s="358" t="s">
        <v>3783</v>
      </c>
      <c r="K305" s="209"/>
      <c r="L305" s="166"/>
      <c r="M305" s="250"/>
      <c r="N305" s="251"/>
      <c r="Q305" s="155"/>
      <c r="R305" s="155"/>
      <c r="S305" s="155"/>
    </row>
    <row r="306" spans="1:19" ht="15">
      <c r="A306" s="155"/>
      <c r="B306" s="155"/>
      <c r="C306" s="359" t="s">
        <v>3187</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3228</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3223</v>
      </c>
      <c r="D314" s="113"/>
      <c r="E314" s="113"/>
      <c r="F314" s="113"/>
      <c r="G314" s="113"/>
      <c r="H314" s="113"/>
      <c r="I314" s="113"/>
      <c r="J314" s="358" t="s">
        <v>2645</v>
      </c>
      <c r="K314" s="209"/>
      <c r="L314" s="166"/>
      <c r="M314" s="250"/>
      <c r="N314" s="251"/>
      <c r="Q314" s="155"/>
      <c r="R314" s="155"/>
      <c r="S314" s="155"/>
    </row>
    <row r="315" spans="1:19" ht="15">
      <c r="A315" s="155"/>
      <c r="B315" s="155"/>
      <c r="C315" s="360" t="s">
        <v>3224</v>
      </c>
      <c r="D315" s="113"/>
      <c r="E315" s="113"/>
      <c r="F315" s="113"/>
      <c r="G315" s="113"/>
      <c r="H315" s="113"/>
      <c r="I315" s="113"/>
      <c r="J315" s="358" t="s">
        <v>2646</v>
      </c>
      <c r="K315" s="166"/>
      <c r="L315" s="166"/>
      <c r="M315" s="250"/>
      <c r="N315" s="251"/>
      <c r="Q315" s="155"/>
      <c r="R315" s="155"/>
      <c r="S315" s="155"/>
    </row>
    <row r="316" spans="1:19" ht="15">
      <c r="A316" s="155"/>
      <c r="B316" s="155"/>
      <c r="C316" s="360" t="s">
        <v>3225</v>
      </c>
      <c r="D316" s="166"/>
      <c r="E316" s="166"/>
      <c r="F316" s="166"/>
      <c r="G316" s="166"/>
      <c r="H316" s="166"/>
      <c r="I316" s="166"/>
      <c r="J316" s="358" t="s">
        <v>41</v>
      </c>
      <c r="K316" s="166"/>
      <c r="L316" s="166"/>
      <c r="M316" s="250"/>
      <c r="N316" s="251"/>
      <c r="Q316" s="155"/>
      <c r="R316" s="155"/>
      <c r="S316" s="155"/>
    </row>
    <row r="317" spans="1:19" ht="15">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3807</v>
      </c>
      <c r="H324" s="673" t="s">
        <v>3808</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3165</v>
      </c>
      <c r="H326" s="674" t="s">
        <v>2033</v>
      </c>
      <c r="I326" s="674" t="s">
        <v>2030</v>
      </c>
      <c r="J326" s="166"/>
      <c r="K326" s="166"/>
      <c r="L326" s="166"/>
      <c r="M326" s="250"/>
      <c r="N326" s="251"/>
    </row>
    <row r="327" spans="1:19">
      <c r="A327" s="155"/>
      <c r="B327" s="155"/>
      <c r="C327" s="166"/>
      <c r="D327" s="166"/>
      <c r="E327" s="166"/>
      <c r="F327" s="166"/>
      <c r="G327" s="673" t="s">
        <v>2546</v>
      </c>
      <c r="H327" s="674" t="s">
        <v>3828</v>
      </c>
      <c r="I327" s="674" t="s">
        <v>2033</v>
      </c>
      <c r="J327" s="166"/>
      <c r="K327" s="166"/>
      <c r="L327" s="166"/>
      <c r="M327" s="250"/>
      <c r="N327" s="251"/>
    </row>
    <row r="328" spans="1:19" ht="25.5">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2033</v>
      </c>
      <c r="H329" s="674" t="s">
        <v>2998</v>
      </c>
      <c r="I329" s="674" t="s">
        <v>3761</v>
      </c>
      <c r="J329" s="166"/>
      <c r="K329" s="166"/>
      <c r="L329" s="166"/>
      <c r="M329" s="250"/>
      <c r="N329" s="251"/>
    </row>
    <row r="330" spans="1:19">
      <c r="A330" s="155"/>
      <c r="B330" s="155"/>
      <c r="C330" s="166"/>
      <c r="D330" s="166"/>
      <c r="E330" s="166"/>
      <c r="F330" s="166"/>
      <c r="G330" s="673" t="s">
        <v>2251</v>
      </c>
      <c r="H330" s="674" t="s">
        <v>3410</v>
      </c>
      <c r="I330" s="674" t="s">
        <v>3763</v>
      </c>
      <c r="J330" s="166"/>
      <c r="K330" s="166"/>
      <c r="L330" s="166"/>
      <c r="M330" s="250"/>
      <c r="N330" s="251"/>
    </row>
    <row r="331" spans="1:19">
      <c r="A331" s="155"/>
      <c r="B331" s="155"/>
      <c r="C331" s="166"/>
      <c r="D331" s="166"/>
      <c r="E331" s="166"/>
      <c r="F331" s="166"/>
      <c r="G331" s="673" t="s">
        <v>1642</v>
      </c>
      <c r="H331" s="674" t="s">
        <v>3830</v>
      </c>
      <c r="I331" s="674" t="s">
        <v>3816</v>
      </c>
      <c r="J331" s="166"/>
      <c r="K331" s="166"/>
      <c r="L331" s="166"/>
      <c r="M331" s="250"/>
      <c r="N331" s="251"/>
    </row>
    <row r="332" spans="1:19">
      <c r="A332" s="155"/>
      <c r="B332" s="155"/>
      <c r="C332" s="166"/>
      <c r="D332" s="166"/>
      <c r="E332" s="166"/>
      <c r="F332" s="166"/>
      <c r="G332" s="673" t="s">
        <v>3763</v>
      </c>
      <c r="H332" s="674" t="s">
        <v>1003</v>
      </c>
      <c r="I332" s="674" t="s">
        <v>254</v>
      </c>
      <c r="J332" s="166"/>
      <c r="K332" s="166"/>
      <c r="L332" s="166"/>
      <c r="M332" s="250"/>
      <c r="N332" s="251"/>
    </row>
    <row r="333" spans="1:19">
      <c r="A333" s="155"/>
      <c r="B333" s="155"/>
      <c r="C333" s="166"/>
      <c r="D333" s="166"/>
      <c r="E333" s="166"/>
      <c r="F333" s="166"/>
      <c r="G333" s="673" t="s">
        <v>3152</v>
      </c>
      <c r="H333" s="674" t="s">
        <v>2633</v>
      </c>
      <c r="I333" s="674" t="s">
        <v>1549</v>
      </c>
      <c r="J333" s="166"/>
      <c r="K333" s="166"/>
      <c r="L333" s="166"/>
      <c r="M333" s="250"/>
      <c r="N333" s="251"/>
    </row>
    <row r="334" spans="1:19" ht="25.5">
      <c r="A334" s="155"/>
      <c r="B334" s="155"/>
      <c r="C334" s="166"/>
      <c r="D334" s="166"/>
      <c r="E334" s="166"/>
      <c r="F334" s="166"/>
      <c r="G334" s="673" t="s">
        <v>934</v>
      </c>
      <c r="H334" s="674" t="s">
        <v>3831</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3398</v>
      </c>
      <c r="I336" s="674" t="s">
        <v>1469</v>
      </c>
      <c r="J336" s="166"/>
      <c r="K336" s="166"/>
      <c r="L336" s="166"/>
      <c r="M336" s="250"/>
      <c r="N336" s="251"/>
    </row>
    <row r="337" spans="1:14">
      <c r="A337" s="155"/>
      <c r="B337" s="155"/>
      <c r="C337" s="166"/>
      <c r="D337" s="166"/>
      <c r="E337" s="166"/>
      <c r="F337" s="166"/>
      <c r="G337" s="673" t="s">
        <v>669</v>
      </c>
      <c r="H337" s="674" t="s">
        <v>2951</v>
      </c>
      <c r="I337" s="674" t="s">
        <v>1008</v>
      </c>
      <c r="J337" s="166"/>
      <c r="K337" s="166"/>
      <c r="L337" s="166"/>
      <c r="M337" s="250"/>
      <c r="N337" s="251"/>
    </row>
    <row r="338" spans="1:14" ht="51">
      <c r="A338" s="155"/>
      <c r="B338" s="155"/>
      <c r="C338" s="166"/>
      <c r="D338" s="166"/>
      <c r="E338" s="166"/>
      <c r="F338" s="166"/>
      <c r="G338" s="673" t="s">
        <v>298</v>
      </c>
      <c r="H338" s="674" t="s">
        <v>3834</v>
      </c>
      <c r="I338" s="674" t="s">
        <v>1013</v>
      </c>
      <c r="J338" s="166"/>
      <c r="K338" s="166"/>
      <c r="L338" s="166"/>
      <c r="M338" s="250"/>
      <c r="N338" s="251"/>
    </row>
    <row r="339" spans="1:14" ht="25.5">
      <c r="A339" s="155"/>
      <c r="B339" s="155"/>
      <c r="C339" s="166"/>
      <c r="D339" s="166"/>
      <c r="E339" s="166"/>
      <c r="F339" s="166"/>
      <c r="G339" s="673" t="s">
        <v>2548</v>
      </c>
      <c r="H339" s="674" t="s">
        <v>3827</v>
      </c>
      <c r="I339" s="674" t="s">
        <v>407</v>
      </c>
      <c r="J339" s="166"/>
      <c r="K339" s="166"/>
      <c r="L339" s="166"/>
      <c r="M339" s="250"/>
      <c r="N339" s="251"/>
    </row>
    <row r="340" spans="1:14" ht="25.5">
      <c r="A340" s="155"/>
      <c r="B340" s="155"/>
      <c r="C340" s="166"/>
      <c r="D340" s="166"/>
      <c r="E340" s="166"/>
      <c r="F340" s="166"/>
      <c r="G340" s="673" t="s">
        <v>881</v>
      </c>
      <c r="H340" s="674" t="s">
        <v>3832</v>
      </c>
      <c r="I340" s="674" t="s">
        <v>416</v>
      </c>
      <c r="J340" s="166"/>
      <c r="K340" s="166"/>
      <c r="L340" s="166"/>
      <c r="M340" s="250"/>
      <c r="N340" s="251"/>
    </row>
    <row r="341" spans="1:14">
      <c r="A341" s="155"/>
      <c r="B341" s="155"/>
      <c r="C341" s="166"/>
      <c r="D341" s="166"/>
      <c r="E341" s="166"/>
      <c r="F341" s="166"/>
      <c r="G341" s="673" t="s">
        <v>2549</v>
      </c>
      <c r="H341" s="674" t="s">
        <v>3833</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3189</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3387</v>
      </c>
      <c r="H349" s="674"/>
      <c r="I349" s="674" t="s">
        <v>2540</v>
      </c>
      <c r="J349" s="166"/>
      <c r="K349" s="166"/>
      <c r="L349" s="166"/>
      <c r="M349" s="250"/>
      <c r="N349" s="251"/>
    </row>
    <row r="350" spans="1:14">
      <c r="A350" s="155"/>
      <c r="B350" s="155"/>
      <c r="C350" s="166"/>
      <c r="D350" s="166"/>
      <c r="E350" s="166"/>
      <c r="F350" s="166"/>
      <c r="G350" s="673" t="s">
        <v>3389</v>
      </c>
      <c r="H350" s="674"/>
      <c r="I350" s="674" t="s">
        <v>1742</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5.5">
      <c r="A352" s="155"/>
      <c r="B352" s="155"/>
      <c r="C352" s="166"/>
      <c r="D352" s="166"/>
      <c r="E352" s="166"/>
      <c r="F352" s="166"/>
      <c r="G352" s="673" t="s">
        <v>2551</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3630</v>
      </c>
      <c r="J359" s="166"/>
      <c r="K359" s="166"/>
      <c r="L359" s="166"/>
      <c r="M359" s="155"/>
    </row>
    <row r="360" spans="1:14">
      <c r="A360" s="155"/>
      <c r="B360" s="155"/>
      <c r="C360" s="675"/>
      <c r="D360" s="123"/>
      <c r="E360" s="123"/>
      <c r="F360" s="123"/>
      <c r="G360" s="677" t="s">
        <v>2297</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C12" sqref="C12"/>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Water Tower Park Apartments</v>
      </c>
    </row>
    <row r="3" spans="1:6" ht="16.5">
      <c r="A3" s="1147" t="str">
        <f>CONCATENATE('Part I-Project Information'!F24,", ", 'Part I-Project Information'!J25," County")</f>
        <v>Gray, Jones County</v>
      </c>
    </row>
    <row r="4" spans="1:6" ht="12" customHeight="1"/>
    <row r="5" spans="1:6" ht="111" customHeight="1">
      <c r="A5" s="1148"/>
      <c r="B5" s="774" t="s">
        <v>1591</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19" workbookViewId="0">
      <selection activeCell="A12" sqref="A12:M12"/>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3472</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3569</v>
      </c>
      <c r="B22" s="1138" t="s">
        <v>1033</v>
      </c>
      <c r="C22" s="1138"/>
      <c r="D22" s="1138"/>
      <c r="E22" s="1138"/>
      <c r="F22" s="1138"/>
      <c r="G22" s="1138"/>
      <c r="H22" s="1138"/>
      <c r="I22" s="1138"/>
      <c r="J22" s="1138"/>
      <c r="K22" s="1138"/>
      <c r="L22" s="1138"/>
      <c r="M22" s="1138"/>
    </row>
    <row r="23" spans="1:13" ht="165.6" customHeight="1">
      <c r="A23" s="1137" t="s">
        <v>2303</v>
      </c>
      <c r="B23" s="1138" t="s">
        <v>3122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C12" sqref="C1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3650</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3611</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3685</v>
      </c>
      <c r="L10" s="428" t="s">
        <v>3686</v>
      </c>
      <c r="M10" s="428" t="s">
        <v>3687</v>
      </c>
      <c r="N10" s="428" t="s">
        <v>3688</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7951624</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9541960</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8746782</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2969</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8">
        <v>3500</v>
      </c>
      <c r="R31" s="1079"/>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3036</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3111</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3111</v>
      </c>
      <c r="K37" s="243"/>
      <c r="L37" s="243"/>
      <c r="M37" s="243"/>
      <c r="N37" s="243"/>
      <c r="O37" s="243"/>
      <c r="P37" s="241"/>
      <c r="Q37" s="747" t="s">
        <v>1580</v>
      </c>
      <c r="R37" s="424">
        <v>500000</v>
      </c>
      <c r="S37" s="434"/>
      <c r="T37" s="434"/>
      <c r="U37" s="434"/>
    </row>
    <row r="38" spans="1:21" s="418" customFormat="1" ht="11.45" customHeight="1">
      <c r="A38" s="243"/>
      <c r="B38" s="243" t="s">
        <v>3126</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3127</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80">
        <v>7.0000000000000007E-2</v>
      </c>
      <c r="R41" s="1080"/>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2915</v>
      </c>
      <c r="C46" s="243"/>
      <c r="D46" s="241"/>
      <c r="E46" s="241"/>
      <c r="F46" s="243"/>
      <c r="G46" s="243"/>
      <c r="H46" s="243"/>
      <c r="I46" s="241"/>
      <c r="J46" s="243" t="s">
        <v>2757</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2738</v>
      </c>
      <c r="G47" s="243"/>
      <c r="H47" s="243" t="s">
        <v>3434</v>
      </c>
      <c r="I47" s="241"/>
      <c r="J47" s="243" t="s">
        <v>1586</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2787</v>
      </c>
      <c r="G52" s="243"/>
      <c r="H52" s="243"/>
      <c r="I52" s="241"/>
      <c r="J52" s="243" t="s">
        <v>3583</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3584</v>
      </c>
      <c r="K53" s="243"/>
      <c r="L53" s="243"/>
      <c r="M53" s="243"/>
      <c r="N53" s="243"/>
      <c r="O53" s="243"/>
      <c r="P53" s="241"/>
      <c r="Q53" s="1080" t="s">
        <v>3585</v>
      </c>
      <c r="R53" s="1080"/>
      <c r="S53" s="434"/>
      <c r="T53" s="434"/>
      <c r="U53" s="434"/>
    </row>
    <row r="54" spans="1:21" s="418" customFormat="1" ht="11.45"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3114</v>
      </c>
      <c r="C58" s="243"/>
      <c r="D58" s="241"/>
      <c r="E58" s="241"/>
      <c r="F58" s="243"/>
      <c r="G58" s="243"/>
      <c r="I58" s="241"/>
      <c r="J58" s="243" t="s">
        <v>3115</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3653</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80">
        <v>0.02</v>
      </c>
      <c r="R64" s="1080"/>
    </row>
    <row r="65" spans="1:21" s="434" customFormat="1" ht="11.45" customHeight="1">
      <c r="A65" s="243"/>
      <c r="B65" s="243" t="s">
        <v>2796</v>
      </c>
      <c r="C65" s="243"/>
      <c r="D65" s="243"/>
      <c r="E65" s="243"/>
      <c r="F65" s="243"/>
      <c r="G65" s="243"/>
      <c r="H65" s="243"/>
      <c r="J65" s="243" t="s">
        <v>2795</v>
      </c>
      <c r="K65" s="243"/>
      <c r="L65" s="243"/>
      <c r="M65" s="243"/>
      <c r="N65" s="243"/>
      <c r="O65" s="243"/>
      <c r="Q65" s="1080">
        <v>7.0000000000000007E-2</v>
      </c>
      <c r="R65" s="1080"/>
    </row>
    <row r="66" spans="1:21" s="434" customFormat="1" ht="11.45" customHeight="1">
      <c r="A66" s="243"/>
      <c r="B66" s="243" t="s">
        <v>2797</v>
      </c>
      <c r="C66" s="243"/>
      <c r="D66" s="243"/>
      <c r="E66" s="243"/>
      <c r="F66" s="243"/>
      <c r="G66" s="243"/>
      <c r="H66" s="243"/>
      <c r="J66" s="243" t="s">
        <v>2795</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48700</v>
      </c>
      <c r="J77" s="427">
        <v>0</v>
      </c>
      <c r="K77" s="427">
        <v>0.7</v>
      </c>
      <c r="L77" s="427">
        <v>1</v>
      </c>
    </row>
    <row r="78" spans="1:21" ht="9" customHeight="1">
      <c r="C78" s="577" t="s">
        <v>1659</v>
      </c>
      <c r="D78" s="1127">
        <v>58600</v>
      </c>
      <c r="J78" s="427">
        <v>1</v>
      </c>
      <c r="K78" s="427">
        <v>0.75</v>
      </c>
      <c r="L78" s="427">
        <v>1.5</v>
      </c>
    </row>
    <row r="79" spans="1:21" ht="9" customHeight="1">
      <c r="C79" s="577" t="s">
        <v>1339</v>
      </c>
      <c r="D79" s="1127">
        <v>68300</v>
      </c>
      <c r="J79" s="427">
        <v>2</v>
      </c>
      <c r="K79" s="427">
        <v>0.9</v>
      </c>
      <c r="L79" s="427">
        <v>3</v>
      </c>
    </row>
    <row r="80" spans="1:21" ht="9" customHeight="1">
      <c r="C80" s="577" t="s">
        <v>1340</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1660</v>
      </c>
      <c r="D82" s="1127">
        <v>63400</v>
      </c>
      <c r="J82" s="427">
        <v>5</v>
      </c>
      <c r="K82" s="427">
        <v>1.28</v>
      </c>
      <c r="L82" s="427">
        <v>7.5</v>
      </c>
    </row>
    <row r="83" spans="3:12" ht="9" customHeight="1">
      <c r="C83" s="577" t="s">
        <v>2271</v>
      </c>
      <c r="D83" s="1127">
        <v>57000</v>
      </c>
    </row>
    <row r="84" spans="3:12" ht="9" customHeight="1">
      <c r="C84" s="577" t="s">
        <v>217</v>
      </c>
      <c r="D84" s="1127">
        <v>51600</v>
      </c>
    </row>
    <row r="85" spans="3:12" ht="9" customHeight="1">
      <c r="C85" s="577" t="s">
        <v>431</v>
      </c>
      <c r="D85" s="1127">
        <v>50200</v>
      </c>
    </row>
    <row r="86" spans="3:12" ht="9" customHeight="1">
      <c r="C86" s="578" t="s">
        <v>1882</v>
      </c>
      <c r="D86" s="1127">
        <v>61200</v>
      </c>
    </row>
    <row r="87" spans="3:12" ht="9" customHeight="1">
      <c r="C87" s="578" t="s">
        <v>1341</v>
      </c>
      <c r="D87" s="1127">
        <v>46800</v>
      </c>
    </row>
    <row r="88" spans="3:12" ht="9" customHeight="1">
      <c r="C88" s="578" t="s">
        <v>1661</v>
      </c>
      <c r="D88" s="1127">
        <v>47100</v>
      </c>
    </row>
    <row r="89" spans="3:12" ht="9" customHeight="1">
      <c r="C89" s="577" t="s">
        <v>1342</v>
      </c>
      <c r="D89" s="1127">
        <v>42700</v>
      </c>
    </row>
    <row r="90" spans="3:12" ht="9" customHeight="1">
      <c r="C90" s="578" t="s">
        <v>2185</v>
      </c>
      <c r="D90" s="1127">
        <v>48500</v>
      </c>
    </row>
    <row r="91" spans="3:12" ht="9" customHeight="1">
      <c r="C91" s="577" t="s">
        <v>2021</v>
      </c>
      <c r="D91" s="1127">
        <v>54000</v>
      </c>
    </row>
    <row r="92" spans="3:12" ht="9" customHeight="1">
      <c r="C92" s="578" t="s">
        <v>1344</v>
      </c>
      <c r="D92" s="1127">
        <v>48900</v>
      </c>
    </row>
    <row r="93" spans="3:12" ht="9" customHeight="1">
      <c r="C93" s="578" t="s">
        <v>3132</v>
      </c>
      <c r="D93" s="1127">
        <v>63700</v>
      </c>
    </row>
    <row r="94" spans="3:12" ht="9" customHeight="1">
      <c r="C94" s="578" t="s">
        <v>3898</v>
      </c>
      <c r="D94" s="1127">
        <v>47100</v>
      </c>
    </row>
    <row r="95" spans="3:12" ht="9" customHeight="1">
      <c r="C95" s="577" t="s">
        <v>3398</v>
      </c>
      <c r="D95" s="1127">
        <v>52100</v>
      </c>
    </row>
    <row r="96" spans="3:12" ht="9" customHeight="1">
      <c r="C96" s="577" t="s">
        <v>2027</v>
      </c>
      <c r="D96" s="1127">
        <v>60000</v>
      </c>
    </row>
    <row r="97" spans="3:4" ht="9" customHeight="1">
      <c r="C97" s="577" t="s">
        <v>2713</v>
      </c>
      <c r="D97" s="1127">
        <v>50300</v>
      </c>
    </row>
    <row r="98" spans="3:4" ht="9" customHeight="1">
      <c r="C98" s="577" t="s">
        <v>2726</v>
      </c>
      <c r="D98" s="1127">
        <v>70400</v>
      </c>
    </row>
    <row r="99" spans="3:4" ht="9" customHeight="1">
      <c r="C99" s="578" t="s">
        <v>1873</v>
      </c>
      <c r="D99" s="1127">
        <v>44500</v>
      </c>
    </row>
    <row r="100" spans="3:4" ht="9" customHeight="1">
      <c r="C100" s="578" t="s">
        <v>2807</v>
      </c>
      <c r="D100" s="1127">
        <v>36500</v>
      </c>
    </row>
    <row r="101" spans="3:4" ht="9" customHeight="1">
      <c r="C101" s="578" t="s">
        <v>2809</v>
      </c>
      <c r="D101" s="1127">
        <v>45100</v>
      </c>
    </row>
    <row r="102" spans="3:4" ht="9" customHeight="1">
      <c r="C102" s="577" t="s">
        <v>212</v>
      </c>
      <c r="D102" s="1127">
        <v>49700</v>
      </c>
    </row>
    <row r="103" spans="3:4" ht="9" customHeight="1">
      <c r="C103" s="578" t="s">
        <v>2013</v>
      </c>
      <c r="D103" s="1127">
        <v>48400</v>
      </c>
    </row>
    <row r="104" spans="3:4" ht="9" customHeight="1">
      <c r="C104" s="578" t="s">
        <v>1662</v>
      </c>
      <c r="D104" s="1127">
        <v>36500</v>
      </c>
    </row>
    <row r="105" spans="3:4" ht="9" customHeight="1">
      <c r="C105" s="578" t="s">
        <v>2019</v>
      </c>
      <c r="D105" s="1127">
        <v>43700</v>
      </c>
    </row>
    <row r="106" spans="3:4" ht="9" customHeight="1">
      <c r="C106" s="577" t="s">
        <v>2023</v>
      </c>
      <c r="D106" s="1127">
        <v>52300</v>
      </c>
    </row>
    <row r="107" spans="3:4" ht="9" customHeight="1">
      <c r="C107" s="577" t="s">
        <v>2029</v>
      </c>
      <c r="D107" s="1127">
        <v>56000</v>
      </c>
    </row>
    <row r="108" spans="3:4" ht="9" customHeight="1">
      <c r="C108" s="578" t="s">
        <v>2034</v>
      </c>
      <c r="D108" s="1127">
        <v>43200</v>
      </c>
    </row>
    <row r="109" spans="3:4" ht="9" customHeight="1">
      <c r="C109" s="577" t="s">
        <v>1219</v>
      </c>
      <c r="D109" s="1127">
        <v>60800</v>
      </c>
    </row>
    <row r="110" spans="3:4" ht="9" customHeight="1">
      <c r="C110" s="578" t="s">
        <v>1221</v>
      </c>
      <c r="D110" s="1127">
        <v>40700</v>
      </c>
    </row>
    <row r="111" spans="3:4" ht="9" customHeight="1">
      <c r="C111" s="578" t="s">
        <v>214</v>
      </c>
      <c r="D111" s="1127">
        <v>48200</v>
      </c>
    </row>
    <row r="112" spans="3:4" ht="9" customHeight="1">
      <c r="C112" s="578" t="s">
        <v>219</v>
      </c>
      <c r="D112" s="1127">
        <v>40500</v>
      </c>
    </row>
    <row r="113" spans="3:4" ht="9" customHeight="1">
      <c r="C113" s="578" t="s">
        <v>3756</v>
      </c>
      <c r="D113" s="1127">
        <v>44200</v>
      </c>
    </row>
    <row r="114" spans="3:4" ht="9" customHeight="1">
      <c r="C114" s="578" t="s">
        <v>3759</v>
      </c>
      <c r="D114" s="1127">
        <v>41600</v>
      </c>
    </row>
    <row r="115" spans="3:4" ht="9" customHeight="1">
      <c r="C115" s="578" t="s">
        <v>3762</v>
      </c>
      <c r="D115" s="1127">
        <v>42300</v>
      </c>
    </row>
    <row r="116" spans="3:4" ht="9" customHeight="1">
      <c r="C116" s="578" t="s">
        <v>3814</v>
      </c>
      <c r="D116" s="1127">
        <v>40400</v>
      </c>
    </row>
    <row r="117" spans="3:4" ht="9" customHeight="1">
      <c r="C117" s="578" t="s">
        <v>3817</v>
      </c>
      <c r="D117" s="1127">
        <v>41100</v>
      </c>
    </row>
    <row r="118" spans="3:4" ht="9" customHeight="1">
      <c r="C118" s="578" t="s">
        <v>251</v>
      </c>
      <c r="D118" s="1127">
        <v>40400</v>
      </c>
    </row>
    <row r="119" spans="3:4" ht="9" customHeight="1">
      <c r="C119" s="578" t="s">
        <v>255</v>
      </c>
      <c r="D119" s="1127">
        <v>46800</v>
      </c>
    </row>
    <row r="120" spans="3:4" ht="9" customHeight="1">
      <c r="C120" s="578" t="s">
        <v>1548</v>
      </c>
      <c r="D120" s="1127">
        <v>46200</v>
      </c>
    </row>
    <row r="121" spans="3:4" ht="9" customHeight="1">
      <c r="C121" s="578" t="s">
        <v>1550</v>
      </c>
      <c r="D121" s="1127">
        <v>39800</v>
      </c>
    </row>
    <row r="122" spans="3:4" ht="9" customHeight="1">
      <c r="C122" s="578" t="s">
        <v>1466</v>
      </c>
      <c r="D122" s="1127">
        <v>41300</v>
      </c>
    </row>
    <row r="123" spans="3:4" ht="9" customHeight="1">
      <c r="C123" s="578" t="s">
        <v>1470</v>
      </c>
      <c r="D123" s="1127">
        <v>39500</v>
      </c>
    </row>
    <row r="124" spans="3:4" ht="9" customHeight="1">
      <c r="C124" s="578" t="s">
        <v>3370</v>
      </c>
      <c r="D124" s="1127">
        <v>38800</v>
      </c>
    </row>
    <row r="125" spans="3:4" ht="9" customHeight="1">
      <c r="C125" s="578" t="s">
        <v>998</v>
      </c>
      <c r="D125" s="1127">
        <v>44200</v>
      </c>
    </row>
    <row r="126" spans="3:4" ht="9" customHeight="1">
      <c r="C126" s="578" t="s">
        <v>1000</v>
      </c>
      <c r="D126" s="1127">
        <v>45700</v>
      </c>
    </row>
    <row r="127" spans="3:4" ht="9" customHeight="1">
      <c r="C127" s="577" t="s">
        <v>1005</v>
      </c>
      <c r="D127" s="1127">
        <v>45600</v>
      </c>
    </row>
    <row r="128" spans="3:4" ht="9" customHeight="1">
      <c r="C128" s="578" t="s">
        <v>1007</v>
      </c>
      <c r="D128" s="1127">
        <v>43900</v>
      </c>
    </row>
    <row r="129" spans="3:4" ht="9" customHeight="1">
      <c r="C129" s="577" t="s">
        <v>1009</v>
      </c>
      <c r="D129" s="1127">
        <v>42800</v>
      </c>
    </row>
    <row r="130" spans="3:4" ht="9" customHeight="1">
      <c r="C130" s="578" t="s">
        <v>1012</v>
      </c>
      <c r="D130" s="1127">
        <v>51700</v>
      </c>
    </row>
    <row r="131" spans="3:4" ht="9" customHeight="1">
      <c r="C131" s="578" t="s">
        <v>1014</v>
      </c>
      <c r="D131" s="1127">
        <v>45000</v>
      </c>
    </row>
    <row r="132" spans="3:4" ht="9" customHeight="1">
      <c r="C132" s="578" t="s">
        <v>1016</v>
      </c>
      <c r="D132" s="1127">
        <v>47400</v>
      </c>
    </row>
    <row r="133" spans="3:4" ht="9" customHeight="1">
      <c r="C133" s="578" t="s">
        <v>138</v>
      </c>
      <c r="D133" s="1127">
        <v>50200</v>
      </c>
    </row>
    <row r="134" spans="3:4" ht="9" customHeight="1">
      <c r="C134" s="578" t="s">
        <v>408</v>
      </c>
      <c r="D134" s="1127">
        <v>33300</v>
      </c>
    </row>
    <row r="135" spans="3:4" ht="9" customHeight="1">
      <c r="C135" s="578" t="s">
        <v>412</v>
      </c>
      <c r="D135" s="1127">
        <v>49900</v>
      </c>
    </row>
    <row r="136" spans="3:4" ht="9" customHeight="1">
      <c r="C136" s="578" t="s">
        <v>417</v>
      </c>
      <c r="D136" s="1127">
        <v>55800</v>
      </c>
    </row>
    <row r="137" spans="3:4" ht="9" customHeight="1">
      <c r="C137" s="578" t="s">
        <v>419</v>
      </c>
      <c r="D137" s="1127">
        <v>58600</v>
      </c>
    </row>
    <row r="138" spans="3:4" ht="9" customHeight="1">
      <c r="C138" s="578" t="s">
        <v>422</v>
      </c>
      <c r="D138" s="1127">
        <v>38400</v>
      </c>
    </row>
    <row r="139" spans="3:4" ht="9" customHeight="1">
      <c r="C139" s="578" t="s">
        <v>424</v>
      </c>
      <c r="D139" s="1127">
        <v>38500</v>
      </c>
    </row>
    <row r="140" spans="3:4" ht="9" customHeight="1">
      <c r="C140" s="578" t="s">
        <v>426</v>
      </c>
      <c r="D140" s="1127">
        <v>36500</v>
      </c>
    </row>
    <row r="141" spans="3:4" ht="9" customHeight="1">
      <c r="C141" s="578" t="s">
        <v>428</v>
      </c>
      <c r="D141" s="1127">
        <v>32800</v>
      </c>
    </row>
    <row r="142" spans="3:4" ht="9" customHeight="1">
      <c r="C142" s="578" t="s">
        <v>2179</v>
      </c>
      <c r="D142" s="1127">
        <v>50600</v>
      </c>
    </row>
    <row r="143" spans="3:4" ht="9" customHeight="1">
      <c r="C143" s="578" t="s">
        <v>2183</v>
      </c>
      <c r="D143" s="1127">
        <v>43200</v>
      </c>
    </row>
    <row r="144" spans="3:4" ht="9" customHeight="1">
      <c r="C144" s="577" t="s">
        <v>234</v>
      </c>
      <c r="D144" s="1127">
        <v>52400</v>
      </c>
    </row>
    <row r="145" spans="3:4" ht="9" customHeight="1">
      <c r="C145" s="578" t="s">
        <v>235</v>
      </c>
      <c r="D145" s="1127">
        <v>38600</v>
      </c>
    </row>
    <row r="146" spans="3:4" ht="9" customHeight="1">
      <c r="C146" s="578" t="s">
        <v>2539</v>
      </c>
      <c r="D146" s="1127">
        <v>44700</v>
      </c>
    </row>
    <row r="147" spans="3:4" ht="9" customHeight="1">
      <c r="C147" s="578" t="s">
        <v>2541</v>
      </c>
      <c r="D147" s="1127">
        <v>47700</v>
      </c>
    </row>
    <row r="148" spans="3:4" ht="9" customHeight="1">
      <c r="C148" s="578" t="s">
        <v>242</v>
      </c>
      <c r="D148" s="1127">
        <v>47400</v>
      </c>
    </row>
    <row r="149" spans="3:4" ht="9" customHeight="1">
      <c r="C149" s="577" t="s">
        <v>3896</v>
      </c>
      <c r="D149" s="1127">
        <v>56700</v>
      </c>
    </row>
    <row r="150" spans="3:4" ht="9" customHeight="1">
      <c r="C150" s="578" t="s">
        <v>1723</v>
      </c>
      <c r="D150" s="1127">
        <v>58800</v>
      </c>
    </row>
    <row r="151" spans="3:4" ht="9" customHeight="1">
      <c r="C151" s="578" t="s">
        <v>1726</v>
      </c>
      <c r="D151" s="1127">
        <v>48700</v>
      </c>
    </row>
    <row r="152" spans="3:4" ht="9" customHeight="1">
      <c r="C152" s="578" t="s">
        <v>1729</v>
      </c>
      <c r="D152" s="1127">
        <v>48000</v>
      </c>
    </row>
    <row r="153" spans="3:4" ht="9" customHeight="1">
      <c r="C153" s="577" t="s">
        <v>1731</v>
      </c>
      <c r="D153" s="1127">
        <v>46600</v>
      </c>
    </row>
    <row r="154" spans="3:4" ht="9" customHeight="1">
      <c r="C154" s="577" t="s">
        <v>1733</v>
      </c>
      <c r="D154" s="1127">
        <v>52000</v>
      </c>
    </row>
    <row r="155" spans="3:4" ht="9" customHeight="1">
      <c r="C155" s="578" t="s">
        <v>1735</v>
      </c>
      <c r="D155" s="1127">
        <v>40400</v>
      </c>
    </row>
    <row r="156" spans="3:4" ht="9" customHeight="1">
      <c r="C156" s="578" t="s">
        <v>1737</v>
      </c>
      <c r="D156" s="1127">
        <v>52600</v>
      </c>
    </row>
    <row r="157" spans="3:4" ht="9" customHeight="1">
      <c r="C157" s="578" t="s">
        <v>1739</v>
      </c>
      <c r="D157" s="1127">
        <v>33500</v>
      </c>
    </row>
    <row r="158" spans="3:4" ht="9" customHeight="1">
      <c r="C158" s="578" t="s">
        <v>3273</v>
      </c>
      <c r="D158" s="1127">
        <v>48100</v>
      </c>
    </row>
    <row r="159" spans="3:4" ht="9" customHeight="1">
      <c r="C159" s="578" t="s">
        <v>3275</v>
      </c>
      <c r="D159" s="1127">
        <v>49000</v>
      </c>
    </row>
    <row r="160" spans="3:4" ht="9" customHeight="1">
      <c r="C160" s="577" t="s">
        <v>3277</v>
      </c>
      <c r="D160" s="1127">
        <v>45200</v>
      </c>
    </row>
    <row r="161" spans="3:4" ht="9" customHeight="1">
      <c r="C161" s="577" t="s">
        <v>3280</v>
      </c>
      <c r="D161" s="1127">
        <v>44700</v>
      </c>
    </row>
    <row r="162" spans="3:4" ht="9" customHeight="1">
      <c r="C162" s="578" t="s">
        <v>3282</v>
      </c>
      <c r="D162" s="1127">
        <v>38200</v>
      </c>
    </row>
    <row r="163" spans="3:4" ht="9" customHeight="1">
      <c r="C163" s="578" t="s">
        <v>3284</v>
      </c>
      <c r="D163" s="1127">
        <v>40800</v>
      </c>
    </row>
    <row r="164" spans="3:4" ht="9" customHeight="1">
      <c r="C164" s="578" t="s">
        <v>3286</v>
      </c>
      <c r="D164" s="1127">
        <v>46600</v>
      </c>
    </row>
    <row r="165" spans="3:4" ht="9" customHeight="1">
      <c r="C165" s="578" t="s">
        <v>3288</v>
      </c>
      <c r="D165" s="1127">
        <v>25200</v>
      </c>
    </row>
    <row r="166" spans="3:4" ht="9" customHeight="1">
      <c r="C166" s="578" t="s">
        <v>3290</v>
      </c>
      <c r="D166" s="1127">
        <v>45700</v>
      </c>
    </row>
    <row r="167" spans="3:4" ht="9" customHeight="1">
      <c r="C167" s="578" t="s">
        <v>1461</v>
      </c>
      <c r="D167" s="1127">
        <v>37000</v>
      </c>
    </row>
    <row r="168" spans="3:4" ht="9" customHeight="1">
      <c r="C168" s="578" t="s">
        <v>1463</v>
      </c>
      <c r="D168" s="1127">
        <v>40300</v>
      </c>
    </row>
    <row r="169" spans="3:4" ht="9" customHeight="1">
      <c r="C169" s="577" t="s">
        <v>2663</v>
      </c>
      <c r="D169" s="1127">
        <v>51200</v>
      </c>
    </row>
    <row r="170" spans="3:4" ht="9" customHeight="1">
      <c r="C170" s="577" t="s">
        <v>2977</v>
      </c>
      <c r="D170" s="1127">
        <v>47000</v>
      </c>
    </row>
    <row r="171" spans="3:4" ht="9" customHeight="1">
      <c r="C171" s="577" t="s">
        <v>2979</v>
      </c>
      <c r="D171" s="1127">
        <v>43300</v>
      </c>
    </row>
    <row r="172" spans="3:4" ht="9" customHeight="1">
      <c r="C172" s="577" t="s">
        <v>2981</v>
      </c>
      <c r="D172" s="1127">
        <v>51200</v>
      </c>
    </row>
    <row r="173" spans="3:4" ht="9" customHeight="1">
      <c r="C173" s="577" t="s">
        <v>2983</v>
      </c>
      <c r="D173" s="1127">
        <v>38400</v>
      </c>
    </row>
    <row r="174" spans="3:4" ht="9" customHeight="1">
      <c r="C174" s="578" t="s">
        <v>2985</v>
      </c>
      <c r="D174" s="1127">
        <v>50100</v>
      </c>
    </row>
    <row r="175" spans="3:4" ht="9" customHeight="1">
      <c r="C175" s="577" t="s">
        <v>2987</v>
      </c>
      <c r="D175" s="1127">
        <v>41000</v>
      </c>
    </row>
    <row r="176" spans="3:4" ht="9" customHeight="1">
      <c r="C176" s="577" t="s">
        <v>2990</v>
      </c>
      <c r="D176" s="1127">
        <v>50700</v>
      </c>
    </row>
    <row r="177" spans="3:4" ht="9" customHeight="1">
      <c r="C177" s="578" t="s">
        <v>3084</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3629</v>
      </c>
      <c r="D185" s="1127">
        <v>41100</v>
      </c>
    </row>
    <row r="186" spans="3:4" ht="9" customHeight="1">
      <c r="C186" s="577" t="s">
        <v>3631</v>
      </c>
      <c r="D186" s="1127">
        <v>42000</v>
      </c>
    </row>
    <row r="187" spans="3:4" ht="9" customHeight="1">
      <c r="C187" s="577" t="s">
        <v>3633</v>
      </c>
      <c r="D187" s="1127">
        <v>45200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220" workbookViewId="0">
      <selection activeCell="A2220"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Water Tower Park Apartments</v>
      </c>
    </row>
    <row r="3" spans="1:2">
      <c r="A3" s="748" t="str">
        <f>CONCATENATE('Part I-Project Information'!F24,", ", 'Part I-Project Information'!J25," County")</f>
        <v>Gray, Jones County</v>
      </c>
    </row>
    <row r="4" spans="1:2" ht="12" customHeight="1"/>
    <row r="5" spans="1:2" ht="111" customHeight="1">
      <c r="A5" s="748" t="str">
        <f>'Project Narrative'!A5</f>
        <v>The Water Tower Park Apartments (“the Apartments”) development is a proposed 48-unit project to be located in Gray, Georgia. It will be a part of a larger mixed use development called Water Tower Park. A new Senior Center will be built adjacent to the subject site, and two medical office buildings are planned on nearby parcels.</v>
      </c>
      <c r="B5" s="748" t="s">
        <v>1591</v>
      </c>
    </row>
    <row r="6" spans="1:2" ht="6.6" customHeight="1"/>
    <row r="7" spans="1:2" ht="111" customHeight="1">
      <c r="A7" s="748" t="str">
        <f>'Project Narrative'!A7</f>
        <v>The development will consist of two separate three-story garden style residential buildings, as well as a community clubhouse/leasing center. The Apartments will be set aside as a “family” project, but will offer amenities catering to both families and seniors due to the diverse renter population. The property will contain 6 one-bedroom units with 750 sq. ft., 26 two-bedroom units with 975 sq. ft., and 16 three-bedroom units with 1,105 sq ft. The units will be targeted to those persons at 50% and 60% of the AMI, with net rents ranging from $404 - $475 for one-bedroom units, $476 - $550 for two-bedroom units, and $541 – $625 for three-bedroom units.</v>
      </c>
    </row>
    <row r="8" spans="1:2" ht="6.6" customHeight="1"/>
    <row r="9" spans="1:2" ht="111" customHeight="1">
      <c r="A9" s="748" t="str">
        <f>'Project Narrative'!A9</f>
        <v xml:space="preserve">The City of Gray is in need of affordable housing to meet the needs of the community and surrounding area.  Gray has been designated by the Georgia Department of Community Affairs as one of the Community Initiative Areas, which places emphasis on the need for quality affordable housing in this area.  There have been no family projects awarded in at least the past four years, which has created a housing gap in this growing community/county.  According to the market study performed by Bowen National Research, there are no affordable housing options within 10 miles.  In fact, the closest affordable housing option is 13.9 miles away in the City of Macon.  According to Bowen "The overall capture rate of 13.3% for the subject development is considered an excellent capture rate."  Additionally, the seven comparable LIHTC properties in the market study have a combined occupancy rate of 98.3%.  This project will meet the housing needs of the community and surrounding area.  </v>
      </c>
    </row>
    <row r="10" spans="1:2" ht="6.6" customHeight="1"/>
    <row r="11" spans="1:2" ht="111" customHeight="1">
      <c r="A11" s="748" t="str">
        <f>'Project Narrative'!A11</f>
        <v>Apart from housing, other needs of the tenants will be uniquely met.  The community building will afford residents the opportunity to participate in many social and recreational activities planned and overseen by MV Residential Property Management, Inc., the management company.  Some of the activities will include potluck meals, utilizing the kitchen area and multipurpose room, birthday parties for residents, holiday parties, and other scheduled events.  The community building will contain a Multi-Purpose Room furnished with several tables, chairs, and couches, as well as a kitchenette for the residents’ use. There will also be a Computer Workstation with desktop computers, printers, and high-speed internet access. In addition, the community building will offer a large Fitness Room with new equipment.</v>
      </c>
    </row>
    <row r="12" spans="1:2" ht="6.6" customHeight="1"/>
    <row r="13" spans="1:2" ht="111" customHeight="1">
      <c r="A13" s="748" t="str">
        <f>'Project Narrative'!A13</f>
        <v>Outdoor activities will take place in the recreational areas located on the property. There will be a playground area with equipment for the children located adjacent to the clubhouse fitness center allowing for easy access and supervision.  An outdoor gathering area with a covered gazebo and outdoor seating will also provided for the residents.</v>
      </c>
    </row>
    <row r="14" spans="1:2" ht="6.6" customHeight="1"/>
    <row r="15" spans="1:2" ht="111" customHeight="1">
      <c r="A15" s="748" t="str">
        <f>'Project Narrative'!A15</f>
        <v>As mentioned above, the apartments will be located in the City of Gray, the county seat of Jones County, Georgia. Jones County is situated in the northeastern section of Middle Georgia, between Macon and Milledgeville. It is approximately 15 miles from Macon, 20 miles from Milledgeville, and 80 miles from Hartsfield-Jackson Atlanta International Airport, accessed by Interstate 75 and Interstate 16. Gray has a total population of approximately 2,100 as of the 2010 Census. The population of Jones County is approximately 30,000. Gray is part of the Macon Metropolitan Statistical Area.</v>
      </c>
    </row>
    <row r="16" spans="1:2" ht="6.6" customHeight="1"/>
    <row r="17" spans="1:13" ht="111" customHeight="1">
      <c r="A17" s="748" t="str">
        <f>'Project Narrative'!A17</f>
        <v>Jones County offers businesses, families, and retirees an attractive and affordable lifestyle. Gray is known for its safe streets, green space, abundant wildlife, and excellent schools. There are numerous recreational opportunities available in Jones County, as well. With one-fourth of the county being in wildlife refuges, hunting, fishing, and camping are the popular forms of recreation. The Ocmulgee River, which serves as the county line between Jones and Monroe County, is a tremendous natural resource for fishing, swimming, canoeing and camping. The Miller Lake recreational area provides many recreational amenities and is located within the Oconee National Forest. Piedmont National Wildlife Refuge is a 35,000 acre wildlife management area northwest of Gray off of Highway 11.</v>
      </c>
    </row>
    <row r="18" spans="1:13" ht="6.6" customHeight="1"/>
    <row r="19" spans="1:13" ht="111" customHeight="1">
      <c r="A19" s="748" t="str">
        <f>'Project Narrative'!A19</f>
        <v>Given the high quality of life in the area, the proximity to amenities, and the relative lack of affordable rental housing options, the Water Tower Park Apartments is positioned to be a successful multifamily development.</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4036</v>
      </c>
      <c r="M32" s="748" t="s">
        <v>2729</v>
      </c>
    </row>
    <row r="33" spans="1:15" ht="12" customHeight="1">
      <c r="E33" s="748" t="s">
        <v>4037</v>
      </c>
      <c r="O33" s="748" t="str">
        <f>'Part I-Project Information'!$O$4</f>
        <v>2011-030</v>
      </c>
    </row>
    <row r="34" spans="1:15" ht="12" customHeight="1"/>
    <row r="35" spans="1:15" ht="13.15" customHeight="1">
      <c r="A35" s="748" t="s">
        <v>950</v>
      </c>
      <c r="C35" s="748" t="s">
        <v>3588</v>
      </c>
      <c r="F35" s="748" t="s">
        <v>2740</v>
      </c>
      <c r="J35" s="748">
        <f>'Part IV-Uses of Funds'!J194</f>
        <v>0</v>
      </c>
    </row>
    <row r="36" spans="1:15" ht="13.15" customHeight="1">
      <c r="F36" s="748" t="s">
        <v>1982</v>
      </c>
      <c r="J36" s="748">
        <f>'Part III A-Sources of Funds'!J34</f>
        <v>0</v>
      </c>
    </row>
    <row r="37" spans="1:15" ht="7.15" customHeight="1"/>
    <row r="38" spans="1:15" ht="13.15" customHeight="1">
      <c r="A38" s="748" t="s">
        <v>1229</v>
      </c>
      <c r="C38" s="748" t="s">
        <v>3130</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3440</v>
      </c>
      <c r="F42" s="748" t="str">
        <f>'Part I-Project Information'!$F$13</f>
        <v>Matt Jackman</v>
      </c>
      <c r="M42" s="748" t="s">
        <v>3055</v>
      </c>
      <c r="N42" s="748" t="str">
        <f>'Part I-Project Information'!N13</f>
        <v>Senior Developer</v>
      </c>
    </row>
    <row r="43" spans="1:15" ht="13.15" customHeight="1">
      <c r="C43" s="748" t="s">
        <v>3056</v>
      </c>
      <c r="F43" s="748" t="str">
        <f>'Part I-Project Information'!$F$14</f>
        <v>2026-A Ayrsley Town Boulevard</v>
      </c>
      <c r="M43" s="748" t="s">
        <v>2746</v>
      </c>
      <c r="O43" s="748">
        <f>'Part I-Project Information'!O14</f>
        <v>7049890976</v>
      </c>
    </row>
    <row r="44" spans="1:15" ht="13.15" customHeight="1">
      <c r="C44" s="748" t="s">
        <v>953</v>
      </c>
      <c r="F44" s="748" t="str">
        <f>'Part I-Project Information'!$F$15</f>
        <v>Charlotte</v>
      </c>
      <c r="M44" s="748" t="s">
        <v>2832</v>
      </c>
      <c r="O44" s="748">
        <f>'Part I-Project Information'!O15</f>
        <v>7042884406</v>
      </c>
    </row>
    <row r="45" spans="1:15" ht="13.15" customHeight="1">
      <c r="C45" s="748" t="s">
        <v>2829</v>
      </c>
      <c r="F45" s="748" t="str">
        <f>'Part I-Project Information'!$F$16</f>
        <v>NC</v>
      </c>
      <c r="I45" s="748" t="s">
        <v>3352</v>
      </c>
      <c r="J45" s="748">
        <f>'Part I-Project Information'!J16</f>
        <v>282734036</v>
      </c>
      <c r="M45" s="748" t="s">
        <v>3054</v>
      </c>
      <c r="O45" s="748">
        <f>'Part I-Project Information'!O16</f>
        <v>7049890976</v>
      </c>
    </row>
    <row r="46" spans="1:15" ht="13.15" customHeight="1">
      <c r="C46" s="748" t="s">
        <v>2745</v>
      </c>
      <c r="F46" s="748">
        <f>'Part I-Project Information'!F17</f>
        <v>7049191839</v>
      </c>
      <c r="I46" s="748" t="s">
        <v>2744</v>
      </c>
      <c r="J46" s="748">
        <f>'Part I-Project Information'!J17</f>
        <v>0</v>
      </c>
      <c r="K46" s="748" t="s">
        <v>3059</v>
      </c>
      <c r="L46" s="748" t="str">
        <f>'Part I-Project Information'!L17</f>
        <v>matt.jackman@mvg.com</v>
      </c>
    </row>
    <row r="47" spans="1:15" ht="13.15" customHeight="1">
      <c r="C47" s="748" t="s">
        <v>997</v>
      </c>
    </row>
    <row r="48" spans="1:15" ht="7.15" customHeight="1"/>
    <row r="49" spans="1:16" ht="13.15" customHeight="1">
      <c r="A49" s="748" t="s">
        <v>2822</v>
      </c>
      <c r="C49" s="748" t="s">
        <v>2207</v>
      </c>
    </row>
    <row r="50" spans="1:16" ht="3" customHeight="1"/>
    <row r="51" spans="1:16" ht="13.15" customHeight="1">
      <c r="C51" s="748" t="s">
        <v>951</v>
      </c>
      <c r="F51" s="748" t="str">
        <f>'Part I-Project Information'!F22</f>
        <v>Water Tower Park Apartments</v>
      </c>
      <c r="M51" s="748" t="s">
        <v>3298</v>
      </c>
      <c r="O51" s="748" t="str">
        <f>'Part I-Project Information'!O22</f>
        <v>No</v>
      </c>
    </row>
    <row r="52" spans="1:16" ht="13.15" customHeight="1">
      <c r="C52" s="748" t="s">
        <v>952</v>
      </c>
      <c r="F52" s="748" t="str">
        <f>'Part I-Project Information'!F23</f>
        <v>TBD</v>
      </c>
      <c r="M52" s="748" t="s">
        <v>3144</v>
      </c>
      <c r="O52" s="748" t="str">
        <f>'Part I-Project Information'!O23</f>
        <v>No</v>
      </c>
    </row>
    <row r="53" spans="1:16" ht="13.15" customHeight="1">
      <c r="C53" s="748" t="s">
        <v>953</v>
      </c>
      <c r="F53" s="748" t="str">
        <f>'Part I-Project Information'!F24</f>
        <v>Gray</v>
      </c>
      <c r="I53" s="748" t="s">
        <v>4038</v>
      </c>
      <c r="J53" s="748">
        <f>'Part I-Project Information'!J24</f>
        <v>310325936</v>
      </c>
      <c r="L53" s="748" t="str">
        <f>IF(AND(NOT(F51=""),NOT(F53="Select from list"),J53=""),"Enter Zip!","")</f>
        <v/>
      </c>
      <c r="M53" s="748" t="s">
        <v>3414</v>
      </c>
      <c r="O53" s="748" t="str">
        <f>'Part I-Project Information'!O24</f>
        <v>+/- 7.9</v>
      </c>
    </row>
    <row r="54" spans="1:16" ht="13.15" customHeight="1">
      <c r="C54" s="748" t="s">
        <v>3143</v>
      </c>
      <c r="F54" s="748" t="str">
        <f>'Part I-Project Information'!F25</f>
        <v>No</v>
      </c>
      <c r="I54" s="748" t="s">
        <v>954</v>
      </c>
      <c r="J54" s="748" t="str">
        <f>'Part I-Project Information'!J25</f>
        <v>Jones</v>
      </c>
      <c r="M54" s="748" t="s">
        <v>3433</v>
      </c>
      <c r="O54" s="748">
        <f>'Part I-Project Information'!O25</f>
        <v>303.01</v>
      </c>
    </row>
    <row r="55" spans="1:16" ht="13.15" customHeight="1">
      <c r="C55" s="748" t="s">
        <v>2313</v>
      </c>
      <c r="F55" s="748" t="str">
        <f>'Part I-Project Information'!F26</f>
        <v>Yes</v>
      </c>
      <c r="I55" s="748" t="s">
        <v>885</v>
      </c>
      <c r="J55" s="748" t="str">
        <f>'Part I-Project Information'!J26</f>
        <v>Macon</v>
      </c>
      <c r="M55" s="748" t="s">
        <v>665</v>
      </c>
      <c r="N55" s="748" t="str">
        <f>'Part I-Project Information'!N26</f>
        <v>No</v>
      </c>
      <c r="O55" s="748" t="s">
        <v>666</v>
      </c>
      <c r="P55" s="748" t="str">
        <f>'Part I-Project Information'!P26</f>
        <v>No</v>
      </c>
    </row>
    <row r="56" spans="1:16" ht="3" customHeight="1"/>
    <row r="57" spans="1:16" ht="13.15" customHeight="1">
      <c r="F57" s="748" t="s">
        <v>4039</v>
      </c>
      <c r="H57" s="748" t="s">
        <v>1225</v>
      </c>
      <c r="J57" s="748" t="s">
        <v>1226</v>
      </c>
    </row>
    <row r="58" spans="1:16" ht="13.15" customHeight="1">
      <c r="C58" s="748" t="s">
        <v>955</v>
      </c>
      <c r="F58" s="748">
        <f>'Part I-Project Information'!F29</f>
        <v>8</v>
      </c>
      <c r="H58" s="748">
        <f>'Part I-Project Information'!H29</f>
        <v>18</v>
      </c>
      <c r="J58" s="748">
        <f>'Part I-Project Information'!J29</f>
        <v>125</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Jones County</v>
      </c>
    </row>
    <row r="62" spans="1:16" ht="13.15" customHeight="1">
      <c r="C62" s="748" t="s">
        <v>974</v>
      </c>
      <c r="F62" s="748" t="str">
        <f>'Part I-Project Information'!F33</f>
        <v>Preston Hawkins</v>
      </c>
      <c r="K62" s="748" t="s">
        <v>3055</v>
      </c>
      <c r="L62" s="748" t="str">
        <f>'Part I-Project Information'!L33</f>
        <v>Chairman of Board of Comissioners</v>
      </c>
    </row>
    <row r="63" spans="1:16" ht="13.15" customHeight="1">
      <c r="C63" s="748" t="s">
        <v>3056</v>
      </c>
      <c r="F63" s="748" t="str">
        <f>'Part I-Project Information'!F34</f>
        <v>166 Industrial Boulevard</v>
      </c>
      <c r="K63" s="748" t="s">
        <v>953</v>
      </c>
      <c r="L63" s="748" t="str">
        <f>'Part I-Project Information'!L34</f>
        <v>Gray</v>
      </c>
    </row>
    <row r="64" spans="1:16" ht="13.15" customHeight="1">
      <c r="C64" s="748" t="s">
        <v>3352</v>
      </c>
      <c r="F64" s="748">
        <f>'Part I-Project Information'!F35</f>
        <v>306775539</v>
      </c>
      <c r="H64" s="748" t="s">
        <v>3057</v>
      </c>
      <c r="I64" s="748">
        <f>'Part I-Project Information'!I35</f>
        <v>7067695161</v>
      </c>
      <c r="L64" s="748" t="s">
        <v>2832</v>
      </c>
      <c r="M64" s="748">
        <f>'Part I-Project Information'!M35</f>
        <v>4789866462</v>
      </c>
    </row>
    <row r="65" spans="1:16" ht="7.15" customHeight="1"/>
    <row r="66" spans="1:16" ht="13.15" customHeight="1">
      <c r="A66" s="748" t="s">
        <v>2824</v>
      </c>
      <c r="C66" s="748" t="s">
        <v>2208</v>
      </c>
      <c r="J66" s="748" t="s">
        <v>4040</v>
      </c>
    </row>
    <row r="67" spans="1:16" ht="3" customHeight="1"/>
    <row r="68" spans="1:16">
      <c r="B68" s="748" t="s">
        <v>3058</v>
      </c>
      <c r="C68" s="748" t="s">
        <v>3435</v>
      </c>
      <c r="F68" s="748" t="str">
        <f>'Part I-Project Information'!F39</f>
        <v>No</v>
      </c>
      <c r="J68" s="748" t="s">
        <v>1971</v>
      </c>
      <c r="L68" s="748" t="s">
        <v>1972</v>
      </c>
    </row>
    <row r="69" spans="1:16" ht="3" customHeight="1"/>
    <row r="70" spans="1:16" ht="13.15" customHeight="1">
      <c r="B70" s="748" t="s">
        <v>3061</v>
      </c>
      <c r="C70" s="748" t="s">
        <v>3597</v>
      </c>
      <c r="J70" s="748" t="s">
        <v>1975</v>
      </c>
      <c r="L70" s="748" t="s">
        <v>1970</v>
      </c>
    </row>
    <row r="71" spans="1:16" ht="13.15" customHeight="1">
      <c r="C71" s="748" t="s">
        <v>3434</v>
      </c>
      <c r="F71" s="748">
        <f>'Part VI-Revenues &amp; Expenses'!$M$75</f>
        <v>48</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1238</v>
      </c>
      <c r="C77" s="748" t="s">
        <v>3406</v>
      </c>
      <c r="I77" s="748" t="s">
        <v>2130</v>
      </c>
      <c r="J77" s="748" t="s">
        <v>3210</v>
      </c>
      <c r="K77" s="748" t="s">
        <v>3441</v>
      </c>
    </row>
    <row r="78" spans="1:16" ht="13.15" customHeight="1">
      <c r="C78" s="748" t="s">
        <v>3407</v>
      </c>
      <c r="H78" s="748">
        <f>SUM(H79:H80)</f>
        <v>48</v>
      </c>
      <c r="K78" s="748" t="s">
        <v>3442</v>
      </c>
      <c r="P78" s="748">
        <f>'Part VI-Revenues &amp; Expenses'!$M$94</f>
        <v>47530</v>
      </c>
    </row>
    <row r="79" spans="1:16" ht="13.15" customHeight="1">
      <c r="D79" s="748" t="s">
        <v>489</v>
      </c>
      <c r="H79" s="748">
        <f>'Part VI-Revenues &amp; Expenses'!$M$58</f>
        <v>8</v>
      </c>
      <c r="I79" s="748">
        <f>'Part VI-Revenues &amp; Expenses'!$M$66</f>
        <v>0</v>
      </c>
      <c r="K79" s="748" t="s">
        <v>326</v>
      </c>
      <c r="P79" s="748">
        <f>'Part VI-Revenues &amp; Expenses'!$M$95</f>
        <v>0</v>
      </c>
    </row>
    <row r="80" spans="1:16" ht="13.15" customHeight="1">
      <c r="D80" s="748" t="s">
        <v>2862</v>
      </c>
      <c r="H80" s="748">
        <f>'Part VI-Revenues &amp; Expenses'!$M$57</f>
        <v>40</v>
      </c>
      <c r="I80" s="748">
        <f>'Part VI-Revenues &amp; Expenses'!$M$65</f>
        <v>0</v>
      </c>
      <c r="K80" s="748" t="s">
        <v>3443</v>
      </c>
      <c r="P80" s="748">
        <f>+P78+P79</f>
        <v>47530</v>
      </c>
    </row>
    <row r="81" spans="1:16" ht="13.15" customHeight="1">
      <c r="C81" s="748" t="s">
        <v>327</v>
      </c>
      <c r="H81" s="748">
        <f>'Part VI-Revenues &amp; Expenses'!$M$60</f>
        <v>0</v>
      </c>
      <c r="K81" s="748" t="s">
        <v>2133</v>
      </c>
      <c r="P81" s="748">
        <f>'Part VI-Revenues &amp; Expenses'!$M$97</f>
        <v>0</v>
      </c>
    </row>
    <row r="82" spans="1:16" ht="13.15" customHeight="1">
      <c r="C82" s="748" t="s">
        <v>3648</v>
      </c>
      <c r="H82" s="748">
        <f>+H78+H81</f>
        <v>48</v>
      </c>
      <c r="K82" s="748" t="s">
        <v>2132</v>
      </c>
      <c r="P82" s="748">
        <f>+P80+P81</f>
        <v>47530</v>
      </c>
    </row>
    <row r="83" spans="1:16" ht="13.15" customHeight="1">
      <c r="C83" s="748" t="s">
        <v>3649</v>
      </c>
      <c r="H83" s="748">
        <f>'Part VI-Revenues &amp; Expenses'!$M$62</f>
        <v>0</v>
      </c>
    </row>
    <row r="84" spans="1:16" ht="13.15" customHeight="1">
      <c r="C84" s="748" t="s">
        <v>2823</v>
      </c>
      <c r="H84" s="748">
        <f>+H82+H83</f>
        <v>48</v>
      </c>
    </row>
    <row r="85" spans="1:16" ht="3" customHeight="1"/>
    <row r="86" spans="1:16" ht="13.15" customHeight="1">
      <c r="B86" s="748" t="s">
        <v>2762</v>
      </c>
      <c r="C86" s="748" t="s">
        <v>3436</v>
      </c>
      <c r="D86" s="748" t="s">
        <v>3072</v>
      </c>
      <c r="H86" s="748">
        <f>'Part I-Project Information'!H57</f>
        <v>2</v>
      </c>
      <c r="K86" s="748" t="s">
        <v>1759</v>
      </c>
      <c r="P86" s="748">
        <f>'Part I-Project Information'!P57</f>
        <v>1737</v>
      </c>
    </row>
    <row r="87" spans="1:16" ht="13.15" customHeight="1">
      <c r="D87" s="748" t="s">
        <v>3073</v>
      </c>
      <c r="H87" s="748">
        <f>'Part I-Project Information'!H58</f>
        <v>1</v>
      </c>
      <c r="K87" s="748" t="s">
        <v>325</v>
      </c>
      <c r="P87" s="748">
        <f>+P82+P86</f>
        <v>49267</v>
      </c>
    </row>
    <row r="88" spans="1:16" ht="13.15" customHeight="1">
      <c r="D88" s="748" t="s">
        <v>3074</v>
      </c>
      <c r="H88" s="748">
        <f>+H86+H87</f>
        <v>3</v>
      </c>
    </row>
    <row r="89" spans="1:16" ht="3" customHeight="1"/>
    <row r="90" spans="1:16" ht="13.15" customHeight="1">
      <c r="B90" s="748" t="s">
        <v>2763</v>
      </c>
      <c r="C90" s="748" t="s">
        <v>3598</v>
      </c>
      <c r="H90" s="748">
        <f>'Part I-Project Information'!H61</f>
        <v>105</v>
      </c>
    </row>
    <row r="91" spans="1:16" ht="9" customHeight="1"/>
    <row r="92" spans="1:16" ht="13.15" customHeight="1">
      <c r="A92" s="748" t="s">
        <v>822</v>
      </c>
      <c r="C92" s="748" t="s">
        <v>1836</v>
      </c>
    </row>
    <row r="93" spans="1:16" ht="3" customHeight="1"/>
    <row r="94" spans="1:16" ht="13.15" customHeight="1">
      <c r="B94" s="748" t="s">
        <v>3058</v>
      </c>
      <c r="C94" s="748" t="s">
        <v>2272</v>
      </c>
      <c r="H94" s="748" t="str">
        <f>'Part I-Project Information'!H65</f>
        <v>Family</v>
      </c>
      <c r="K94" s="748" t="s">
        <v>2801</v>
      </c>
      <c r="N94" s="748">
        <f>'Part I-Project Information'!N65</f>
        <v>0</v>
      </c>
    </row>
    <row r="95" spans="1:16" ht="3" customHeight="1"/>
    <row r="96" spans="1:16" ht="13.15" customHeight="1">
      <c r="B96" s="748" t="s">
        <v>3061</v>
      </c>
      <c r="C96" s="748" t="s">
        <v>2121</v>
      </c>
      <c r="G96" s="748" t="s">
        <v>1378</v>
      </c>
      <c r="H96" s="748">
        <f>'Part I-Project Information'!H67</f>
        <v>3</v>
      </c>
      <c r="K96" s="748" t="s">
        <v>812</v>
      </c>
      <c r="P96" s="748">
        <f>IF('Part VI-Revenues &amp; Expenses'!$M$63=0,0,$H96/'Part VI-Revenues &amp; Expenses'!$M$63)</f>
        <v>6.25E-2</v>
      </c>
    </row>
    <row r="97" spans="1:16" ht="3" customHeight="1"/>
    <row r="98" spans="1:16" ht="13.15" customHeight="1">
      <c r="B98" s="748" t="s">
        <v>1238</v>
      </c>
      <c r="C98" s="748" t="s">
        <v>2889</v>
      </c>
      <c r="G98" s="748" t="s">
        <v>1378</v>
      </c>
      <c r="H98" s="748">
        <f>'Part I-Project Information'!H69</f>
        <v>1</v>
      </c>
      <c r="K98" s="748" t="s">
        <v>812</v>
      </c>
      <c r="P98" s="748">
        <f>IF('Part VI-Revenues &amp; Expenses'!$M$63=0,0,$H98/'Part VI-Revenues &amp; Expenses'!$M$63)</f>
        <v>2.0833333333333332E-2</v>
      </c>
    </row>
    <row r="99" spans="1:16" ht="3" customHeight="1"/>
    <row r="100" spans="1:16" ht="13.15" customHeight="1">
      <c r="B100" s="748" t="s">
        <v>3210</v>
      </c>
      <c r="C100" s="748" t="s">
        <v>1977</v>
      </c>
      <c r="G100" s="748" t="s">
        <v>1978</v>
      </c>
      <c r="H100" s="748">
        <f>'Part I-Project Information'!H71</f>
        <v>3</v>
      </c>
      <c r="K100" s="748" t="s">
        <v>812</v>
      </c>
      <c r="P100" s="748">
        <f>IF('Part VI-Revenues &amp; Expenses'!$M$63=0,0,$H100/'Part VI-Revenues &amp; Expenses'!$M$63)</f>
        <v>6.25E-2</v>
      </c>
    </row>
    <row r="101" spans="1:16" ht="9" customHeight="1"/>
    <row r="102" spans="1:16" ht="13.15" customHeight="1">
      <c r="A102" s="748" t="s">
        <v>1347</v>
      </c>
      <c r="C102" s="748" t="s">
        <v>3590</v>
      </c>
    </row>
    <row r="103" spans="1:16" ht="3" customHeight="1"/>
    <row r="104" spans="1:16" ht="13.15" customHeight="1">
      <c r="B104" s="748" t="s">
        <v>3058</v>
      </c>
      <c r="C104" s="748" t="s">
        <v>3589</v>
      </c>
      <c r="H104" s="748" t="str">
        <f>'Part I-Project Information'!H75</f>
        <v>40% of Units at 60% of AMI</v>
      </c>
    </row>
    <row r="105" spans="1:16" ht="3" customHeight="1"/>
    <row r="106" spans="1:16" ht="13.15" customHeight="1">
      <c r="B106" s="748" t="s">
        <v>3061</v>
      </c>
      <c r="C106" s="748" t="s">
        <v>2285</v>
      </c>
      <c r="K106" s="748" t="s">
        <v>1459</v>
      </c>
      <c r="P106" s="748">
        <f>'Part I-Project Information'!P77</f>
        <v>0</v>
      </c>
    </row>
    <row r="107" spans="1:16" ht="9" customHeight="1"/>
    <row r="108" spans="1:16" ht="13.15" customHeight="1">
      <c r="A108" s="748" t="s">
        <v>385</v>
      </c>
      <c r="C108" s="748" t="s">
        <v>3131</v>
      </c>
    </row>
    <row r="109" spans="1:16" ht="3" customHeight="1"/>
    <row r="110" spans="1:16" ht="13.15" customHeight="1">
      <c r="E110" s="748">
        <f>'Part I-Project Information'!E81</f>
        <v>0</v>
      </c>
      <c r="F110" s="748" t="s">
        <v>3912</v>
      </c>
      <c r="H110" s="748" t="str">
        <f>'Part I-Project Information'!H81</f>
        <v>Yes</v>
      </c>
      <c r="I110" s="748" t="s">
        <v>3911</v>
      </c>
      <c r="K110" s="748">
        <f>'Part I-Project Information'!K81</f>
        <v>0</v>
      </c>
      <c r="L110" s="748" t="s">
        <v>144</v>
      </c>
    </row>
    <row r="111" spans="1:16" ht="13.15" customHeight="1">
      <c r="E111" s="748">
        <f>'Part I-Project Information'!E82</f>
        <v>0</v>
      </c>
      <c r="F111" s="748" t="s">
        <v>650</v>
      </c>
      <c r="H111" s="748">
        <f>'Part I-Project Information'!H82</f>
        <v>0</v>
      </c>
      <c r="I111" s="748" t="s">
        <v>3231</v>
      </c>
      <c r="K111" s="748">
        <f>'Part I-Project Information'!K82</f>
        <v>0</v>
      </c>
      <c r="L111" s="748" t="s">
        <v>3232</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2829</v>
      </c>
      <c r="I117" s="748">
        <f>'Part I-Project Information'!I88</f>
        <v>0</v>
      </c>
      <c r="J117" s="748" t="s">
        <v>3352</v>
      </c>
      <c r="K117" s="748">
        <f>'Part I-Project Information'!K88</f>
        <v>0</v>
      </c>
    </row>
    <row r="118" spans="1:15" ht="13.15" customHeight="1">
      <c r="C118" s="748" t="s">
        <v>3300</v>
      </c>
      <c r="E118" s="748">
        <f>'Part I-Project Information'!E89</f>
        <v>0</v>
      </c>
      <c r="H118" s="748" t="s">
        <v>3055</v>
      </c>
      <c r="I118" s="748">
        <f>'Part I-Project Information'!I89</f>
        <v>0</v>
      </c>
      <c r="L118" s="748" t="s">
        <v>3059</v>
      </c>
      <c r="M118" s="748">
        <f>'Part I-Project Information'!M89</f>
        <v>0</v>
      </c>
    </row>
    <row r="119" spans="1:15" ht="13.15" customHeight="1">
      <c r="C119" s="748" t="s">
        <v>3299</v>
      </c>
      <c r="E119" s="748">
        <f>'Part I-Project Information'!E90</f>
        <v>0</v>
      </c>
      <c r="H119" s="748" t="s">
        <v>2832</v>
      </c>
      <c r="I119" s="748">
        <f>'Part I-Project Information'!I90</f>
        <v>0</v>
      </c>
      <c r="K119" s="748" t="s">
        <v>2833</v>
      </c>
      <c r="L119" s="748">
        <f>'Part I-Project Information'!L90</f>
        <v>0</v>
      </c>
      <c r="N119" s="748" t="s">
        <v>3054</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3255</v>
      </c>
    </row>
    <row r="124" spans="1:15" ht="4.9000000000000004" customHeight="1"/>
    <row r="125" spans="1:15" ht="13.15" customHeight="1">
      <c r="B125" s="748" t="s">
        <v>3058</v>
      </c>
      <c r="C125" s="748" t="s">
        <v>2122</v>
      </c>
      <c r="H125" s="748">
        <f>'Part I-Project Information'!H96</f>
        <v>1</v>
      </c>
    </row>
    <row r="126" spans="1:15" ht="3.6" customHeight="1"/>
    <row r="127" spans="1:15" ht="13.15" customHeight="1">
      <c r="B127" s="748" t="s">
        <v>3061</v>
      </c>
      <c r="C127" s="748" t="s">
        <v>525</v>
      </c>
      <c r="H127" s="748">
        <f>'Part I-Project Information'!H98</f>
        <v>566469</v>
      </c>
    </row>
    <row r="128" spans="1:15" ht="3.6" customHeight="1"/>
    <row r="129" spans="2:13" ht="13.15" customHeight="1">
      <c r="B129" s="748" t="s">
        <v>1238</v>
      </c>
      <c r="C129" s="748" t="s">
        <v>395</v>
      </c>
    </row>
    <row r="130" spans="2:13" ht="13.15" customHeight="1">
      <c r="C130" s="748" t="s">
        <v>3233</v>
      </c>
      <c r="F130" s="748" t="s">
        <v>1773</v>
      </c>
      <c r="J130" s="748" t="s">
        <v>3233</v>
      </c>
      <c r="M130" s="748" t="s">
        <v>1773</v>
      </c>
    </row>
    <row r="131" spans="2:13" ht="13.15" customHeight="1">
      <c r="C131" s="748" t="str">
        <f>'Part I-Project Information'!C102</f>
        <v>1 MV Residential Construction, Inc.</v>
      </c>
      <c r="F131" s="748" t="str">
        <f>'Part I-Project Information'!F102</f>
        <v>Water Tower Park Apartments</v>
      </c>
      <c r="J131" s="748">
        <f>'Part I-Project Information'!J102</f>
        <v>8</v>
      </c>
      <c r="M131" s="748">
        <f>'Part I-Project Information'!M102</f>
        <v>0</v>
      </c>
    </row>
    <row r="132" spans="2:13" ht="13.15" customHeight="1">
      <c r="C132" s="748" t="str">
        <f>'Part I-Project Information'!C103</f>
        <v>2 Miller-Valentine Apartments III LLC</v>
      </c>
      <c r="F132" s="748" t="str">
        <f>'Part I-Project Information'!F103</f>
        <v>Water Tower Park Apartments</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3210</v>
      </c>
      <c r="C139" s="748" t="s">
        <v>2898</v>
      </c>
    </row>
    <row r="140" spans="2:13" ht="13.15" customHeight="1"/>
    <row r="141" spans="2:13" ht="13.15" customHeight="1">
      <c r="C141" s="748" t="s">
        <v>3233</v>
      </c>
      <c r="F141" s="748" t="s">
        <v>1773</v>
      </c>
      <c r="J141" s="748" t="s">
        <v>3233</v>
      </c>
      <c r="M141" s="748" t="s">
        <v>1773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3663</v>
      </c>
      <c r="H150" s="748" t="str">
        <f>'Part I-Project Information'!H121</f>
        <v>No</v>
      </c>
    </row>
    <row r="151" spans="1:15" ht="3" customHeight="1"/>
    <row r="152" spans="1:15" ht="13.15" customHeight="1">
      <c r="B152" s="748" t="s">
        <v>3058</v>
      </c>
      <c r="C152" s="748" t="s">
        <v>2731</v>
      </c>
      <c r="H152" s="748" t="str">
        <f>'Part I-Project Information'!H123</f>
        <v>No</v>
      </c>
    </row>
    <row r="153" spans="1:15" ht="13.15" customHeight="1">
      <c r="C153" s="748" t="s">
        <v>3665</v>
      </c>
      <c r="H153" s="748">
        <f>'Part I-Project Information'!H124</f>
        <v>0</v>
      </c>
    </row>
    <row r="154" spans="1:15" ht="13.15" customHeight="1">
      <c r="C154" s="748" t="s">
        <v>2730</v>
      </c>
      <c r="H154" s="748">
        <f>'Part I-Project Information'!H125</f>
        <v>0</v>
      </c>
    </row>
    <row r="155" spans="1:15" ht="13.15" customHeight="1">
      <c r="C155" s="748" t="s">
        <v>3666</v>
      </c>
      <c r="H155" s="748">
        <f>'Part I-Project Information'!H126</f>
        <v>0</v>
      </c>
      <c r="K155" s="748" t="s">
        <v>3373</v>
      </c>
      <c r="O155" s="748" t="str">
        <f>'Part I-Project Information'!O126</f>
        <v>GA-</v>
      </c>
    </row>
    <row r="156" spans="1:15" ht="13.15" customHeight="1">
      <c r="C156" s="748" t="s">
        <v>3664</v>
      </c>
      <c r="H156" s="748" t="str">
        <f>'Part I-Project Information'!H127</f>
        <v>No</v>
      </c>
      <c r="K156" s="748" t="s">
        <v>3374</v>
      </c>
      <c r="O156" s="748" t="str">
        <f>'Part I-Project Information'!O127</f>
        <v>GA-</v>
      </c>
    </row>
    <row r="157" spans="1:15" ht="13.15" customHeight="1">
      <c r="C157" s="748" t="s">
        <v>3271</v>
      </c>
      <c r="H157" s="748">
        <f>'Part I-Project Information'!H128</f>
        <v>0</v>
      </c>
    </row>
    <row r="158" spans="1:15" ht="3" customHeight="1"/>
    <row r="159" spans="1:15" ht="13.15" customHeight="1">
      <c r="B159" s="748" t="s">
        <v>3061</v>
      </c>
      <c r="C159" s="748" t="s">
        <v>3768</v>
      </c>
      <c r="H159" s="748" t="str">
        <f>'Part I-Project Information'!H130</f>
        <v>No</v>
      </c>
    </row>
    <row r="160" spans="1:15" ht="3" customHeight="1"/>
    <row r="161" spans="1:16" ht="13.15" customHeight="1">
      <c r="B161" s="748" t="s">
        <v>1238</v>
      </c>
      <c r="C161" s="748" t="s">
        <v>981</v>
      </c>
    </row>
    <row r="162" spans="1:16" ht="13.15" customHeight="1">
      <c r="C162" s="748" t="s">
        <v>4041</v>
      </c>
      <c r="H162" s="748" t="str">
        <f>'Part I-Project Information'!H133</f>
        <v>No</v>
      </c>
      <c r="K162" s="748" t="s">
        <v>2286</v>
      </c>
      <c r="O162" s="748" t="str">
        <f>'Part I-Project Information'!O133</f>
        <v>No</v>
      </c>
    </row>
    <row r="163" spans="1:16" ht="13.15" customHeight="1">
      <c r="C163" s="748" t="s">
        <v>4042</v>
      </c>
      <c r="H163" s="748" t="str">
        <f>'Part I-Project Information'!H134</f>
        <v>No</v>
      </c>
    </row>
    <row r="164" spans="1:16" ht="6" customHeight="1"/>
    <row r="165" spans="1:16" ht="13.15" customHeight="1">
      <c r="A165" s="748" t="s">
        <v>465</v>
      </c>
      <c r="C165" s="748" t="s">
        <v>1835</v>
      </c>
    </row>
    <row r="166" spans="1:16" ht="1.9" customHeight="1"/>
    <row r="167" spans="1:16" ht="13.15" customHeight="1">
      <c r="B167" s="748" t="s">
        <v>3058</v>
      </c>
      <c r="C167" s="748" t="s">
        <v>2863</v>
      </c>
    </row>
    <row r="168" spans="1:16" ht="12.6" customHeight="1">
      <c r="C168" s="748" t="s">
        <v>2278</v>
      </c>
      <c r="K168" s="748" t="str">
        <f>'Part I-Project Information'!K139</f>
        <v>No</v>
      </c>
    </row>
    <row r="169" spans="1:16" ht="12.6" customHeight="1">
      <c r="C169" s="748" t="s">
        <v>949</v>
      </c>
      <c r="K169" s="748">
        <f>'Part I-Project Information'!K140</f>
        <v>0</v>
      </c>
      <c r="L169" s="748" t="s">
        <v>2825</v>
      </c>
      <c r="P169" s="748">
        <f>IF('Part VI-Revenues &amp; Expenses'!$M$61=0,0,$K169/'Part VI-Revenues &amp; Expenses'!$M$61)</f>
        <v>0</v>
      </c>
    </row>
    <row r="170" spans="1:16" ht="12.6" customHeight="1">
      <c r="C170" s="748" t="s">
        <v>3272</v>
      </c>
      <c r="K170" s="748">
        <f>'Part I-Project Information'!K141</f>
        <v>0</v>
      </c>
      <c r="L170" s="748" t="s">
        <v>2825</v>
      </c>
      <c r="P170" s="748">
        <f>IF('Part VI-Revenues &amp; Expenses'!$M$61=0,0,$K170/'Part VI-Revenues &amp; Expenses'!$M$61)</f>
        <v>0</v>
      </c>
    </row>
    <row r="171" spans="1:16" ht="12.6" customHeight="1">
      <c r="C171" s="748" t="s">
        <v>2826</v>
      </c>
      <c r="E171" s="748">
        <f>'Part I-Project Information'!E142</f>
        <v>0</v>
      </c>
      <c r="L171" s="748" t="s">
        <v>2827</v>
      </c>
      <c r="M171" s="748">
        <f>'Part I-Project Information'!M142</f>
        <v>0</v>
      </c>
    </row>
    <row r="172" spans="1:16" ht="12.6" customHeight="1">
      <c r="C172" s="748" t="s">
        <v>2828</v>
      </c>
      <c r="E172" s="748">
        <f>'Part I-Project Information'!E143</f>
        <v>0</v>
      </c>
      <c r="L172" s="748" t="s">
        <v>2830</v>
      </c>
      <c r="M172" s="748">
        <f>'Part I-Project Information'!M143</f>
        <v>0</v>
      </c>
    </row>
    <row r="173" spans="1:16" ht="12.6" customHeight="1">
      <c r="C173" s="748" t="s">
        <v>953</v>
      </c>
      <c r="E173" s="748">
        <f>'Part I-Project Information'!E144</f>
        <v>0</v>
      </c>
      <c r="I173" s="748" t="s">
        <v>3352</v>
      </c>
      <c r="J173" s="748">
        <f>'Part I-Project Information'!J144</f>
        <v>0</v>
      </c>
      <c r="L173" s="748" t="s">
        <v>2833</v>
      </c>
      <c r="M173" s="748">
        <f>'Part I-Project Information'!M144</f>
        <v>0</v>
      </c>
    </row>
    <row r="174" spans="1:16" ht="12.6" customHeight="1">
      <c r="C174" s="748" t="s">
        <v>2831</v>
      </c>
      <c r="E174" s="748">
        <f>'Part I-Project Information'!E145</f>
        <v>0</v>
      </c>
      <c r="H174" s="748" t="s">
        <v>2832</v>
      </c>
      <c r="I174" s="748">
        <f>'Part I-Project Information'!I145</f>
        <v>0</v>
      </c>
      <c r="L174" s="748" t="s">
        <v>3054</v>
      </c>
      <c r="M174" s="748">
        <f>'Part I-Project Information'!M145</f>
        <v>0</v>
      </c>
    </row>
    <row r="175" spans="1:16" ht="1.9" customHeight="1"/>
    <row r="176" spans="1:16" ht="12.6" customHeight="1">
      <c r="B176" s="748" t="s">
        <v>3061</v>
      </c>
      <c r="C176" s="748" t="s">
        <v>2372</v>
      </c>
      <c r="I176" s="748" t="str">
        <f>'Part I-Project Information'!I147</f>
        <v>No</v>
      </c>
      <c r="J176" s="748" t="s">
        <v>1253</v>
      </c>
      <c r="L176" s="748">
        <f>'Part I-Project Information'!L147</f>
        <v>0</v>
      </c>
      <c r="M176" s="748" t="s">
        <v>3469</v>
      </c>
      <c r="P176" s="748">
        <f>'Part I-Project Information'!P147</f>
        <v>0</v>
      </c>
    </row>
    <row r="177" spans="2:16" ht="1.9" customHeight="1"/>
    <row r="178" spans="2:16" ht="12.6" customHeight="1">
      <c r="B178" s="748" t="s">
        <v>1238</v>
      </c>
      <c r="C178" s="748" t="s">
        <v>2785</v>
      </c>
      <c r="I178" s="748" t="str">
        <f>'Part I-Project Information'!I149</f>
        <v>No</v>
      </c>
    </row>
    <row r="179" spans="2:16" ht="1.9" customHeight="1"/>
    <row r="180" spans="2:16" ht="12.6" customHeight="1">
      <c r="B180" s="748" t="s">
        <v>3210</v>
      </c>
      <c r="C180" s="748" t="s">
        <v>3053</v>
      </c>
      <c r="I180" s="748" t="str">
        <f>'Part I-Project Information'!I151</f>
        <v>No</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2821</v>
      </c>
      <c r="I183" s="748" t="e">
        <f>IF(I181="","",I182/I181)</f>
        <v>#DIV/0!</v>
      </c>
    </row>
    <row r="184" spans="2:16" ht="1.9" customHeight="1"/>
    <row r="185" spans="2:16" ht="13.15" customHeight="1">
      <c r="B185" s="748" t="s">
        <v>2762</v>
      </c>
      <c r="C185" s="748" t="s">
        <v>2373</v>
      </c>
    </row>
    <row r="186" spans="2:16" ht="12.6" customHeight="1">
      <c r="C186" s="748" t="s">
        <v>3326</v>
      </c>
      <c r="I186" s="748" t="str">
        <f>'Part I-Project Information'!I157</f>
        <v>No</v>
      </c>
      <c r="L186" s="748" t="s">
        <v>3325</v>
      </c>
      <c r="P186" s="748" t="str">
        <f>'Part I-Project Information'!P157</f>
        <v>No</v>
      </c>
    </row>
    <row r="187" spans="2:16" ht="12.6" customHeight="1">
      <c r="C187" s="748" t="s">
        <v>3328</v>
      </c>
      <c r="I187" s="748" t="str">
        <f>'Part I-Project Information'!I158</f>
        <v>No</v>
      </c>
      <c r="L187" s="748" t="s">
        <v>2375</v>
      </c>
      <c r="P187" s="748" t="str">
        <f>'Part I-Project Information'!P158</f>
        <v>No</v>
      </c>
    </row>
    <row r="188" spans="2:16" ht="12.6" customHeight="1">
      <c r="C188" s="748" t="s">
        <v>1979</v>
      </c>
      <c r="I188" s="748" t="str">
        <f>'Part I-Project Information'!I159</f>
        <v>No</v>
      </c>
      <c r="L188" s="748" t="s">
        <v>2544</v>
      </c>
      <c r="P188" s="748" t="str">
        <f>'Part I-Project Information'!P159</f>
        <v>No</v>
      </c>
    </row>
    <row r="189" spans="2:16" ht="12.6" customHeight="1">
      <c r="C189" s="748" t="s">
        <v>2374</v>
      </c>
      <c r="I189" s="748" t="str">
        <f>'Part I-Project Information'!I160</f>
        <v>Yes</v>
      </c>
      <c r="L189" s="748" t="s">
        <v>2289</v>
      </c>
      <c r="P189" s="748" t="str">
        <f>'Part I-Project Information'!P160</f>
        <v>No</v>
      </c>
    </row>
    <row r="190" spans="2:16" ht="12.6" customHeight="1">
      <c r="C190" s="748" t="s">
        <v>2376</v>
      </c>
      <c r="I190" s="748" t="str">
        <f>'Part I-Project Information'!I161</f>
        <v>No</v>
      </c>
    </row>
    <row r="191" spans="2:16" ht="12.6" customHeight="1">
      <c r="C191" s="748" t="s">
        <v>2843</v>
      </c>
      <c r="I191" s="748" t="str">
        <f>'Part I-Project Information'!I162</f>
        <v>No</v>
      </c>
      <c r="J191" s="748" t="s">
        <v>3372</v>
      </c>
      <c r="O191" s="748">
        <f>'Part I-Project Information'!O162</f>
        <v>0</v>
      </c>
    </row>
    <row r="192" spans="2:16" ht="12.6" customHeight="1">
      <c r="C192" s="748" t="s">
        <v>3408</v>
      </c>
      <c r="E192" s="748">
        <f>'Part I-Project Information'!E163</f>
        <v>0</v>
      </c>
      <c r="I192" s="748" t="str">
        <f>'Part I-Project Information'!I163</f>
        <v>No</v>
      </c>
    </row>
    <row r="193" spans="1:12" ht="1.9" customHeight="1"/>
    <row r="194" spans="1:12" ht="13.1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3434</v>
      </c>
      <c r="I197" s="748">
        <f>'Part I-Project Information'!I168</f>
        <v>0</v>
      </c>
    </row>
    <row r="198" spans="1:12" ht="1.9" customHeight="1"/>
    <row r="199" spans="1:12" ht="12" customHeight="1">
      <c r="A199" s="748" t="s">
        <v>2752</v>
      </c>
      <c r="C199" s="748" t="s">
        <v>879</v>
      </c>
      <c r="K199" s="748" t="s">
        <v>3379</v>
      </c>
      <c r="L199" s="748" t="s">
        <v>89</v>
      </c>
    </row>
    <row r="200" spans="1:12" ht="38.450000000000003" customHeight="1">
      <c r="A200" s="748" t="str">
        <f>'Part I-Project Information'!A171</f>
        <v xml:space="preserve">“Project Location” above, the total acreage listed is +/- 7.9 acres.  This includes the primary development area of +/-4 acres plus the additional +/-3.9 acres required for open space under the R-3 zoning.  The inclusion of the additional “option land” is intended to allow the proposed development to comply with R-3 zoning whether under the jurisdiction of the County (as it is </v>
      </c>
      <c r="K200" s="748">
        <f>'Part I-Project Information'!K171</f>
        <v>0</v>
      </c>
    </row>
    <row r="201" spans="1:12" ht="38.450000000000003" customHeight="1">
      <c r="A201" s="748" t="str">
        <f>'Part I-Project Information'!A172</f>
        <v>currently, and on what basis this Application is made) or the City (as it may be in the future).  Please see the Site Control Narrative included in Tab 12 of this Application for further detail.</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2011-030 Water Tower Park Apartments, , City of Cairo Development Authority County</v>
      </c>
    </row>
    <row r="206" spans="1:12" ht="12" customHeight="1"/>
    <row r="207" spans="1:12" ht="13.15" customHeight="1">
      <c r="A207" s="748" t="s">
        <v>950</v>
      </c>
      <c r="B207" s="748" t="s">
        <v>2911</v>
      </c>
    </row>
    <row r="208" spans="1:12" ht="8.4499999999999993" customHeight="1"/>
    <row r="209" spans="2:17" ht="12.6" customHeight="1">
      <c r="B209" s="748" t="s">
        <v>3058</v>
      </c>
      <c r="C209" s="748" t="s">
        <v>2907</v>
      </c>
      <c r="H209" s="748" t="str">
        <f>'Part II-Development Team'!H5</f>
        <v>Water Tower Park Apartments, LLC</v>
      </c>
      <c r="O209" s="748" t="s">
        <v>3065</v>
      </c>
      <c r="Q209" s="748" t="str">
        <f>'Part II-Development Team'!Q5</f>
        <v>David R. Liette</v>
      </c>
    </row>
    <row r="210" spans="2:17" ht="12.6" customHeight="1">
      <c r="E210" s="748" t="s">
        <v>1641</v>
      </c>
      <c r="H210" s="748" t="str">
        <f>'Part II-Development Team'!H6</f>
        <v>9349 WaterStone Blvd.</v>
      </c>
      <c r="O210" s="748" t="s">
        <v>2775</v>
      </c>
      <c r="Q210" s="748" t="str">
        <f>'Part II-Development Team'!Q6</f>
        <v>Authorized Signer</v>
      </c>
    </row>
    <row r="211" spans="2:17" ht="12.6" customHeight="1">
      <c r="E211" s="748" t="s">
        <v>953</v>
      </c>
      <c r="H211" s="748" t="str">
        <f>'Part II-Development Team'!H7</f>
        <v>Cincinnati</v>
      </c>
      <c r="K211" s="748" t="s">
        <v>1254</v>
      </c>
      <c r="L211" s="748">
        <f>'Part II-Development Team'!L7</f>
        <v>0</v>
      </c>
      <c r="O211" s="748" t="s">
        <v>2833</v>
      </c>
      <c r="Q211" s="748">
        <f>'Part II-Development Team'!Q7</f>
        <v>5135882689</v>
      </c>
    </row>
    <row r="212" spans="2:17" ht="12.6" customHeight="1">
      <c r="E212" s="748" t="s">
        <v>2829</v>
      </c>
      <c r="H212" s="748" t="str">
        <f>'Part II-Development Team'!H8</f>
        <v>OH</v>
      </c>
      <c r="I212" s="748" t="s">
        <v>4043</v>
      </c>
      <c r="J212" s="748">
        <f>'Part II-Development Team'!J8</f>
        <v>452498325</v>
      </c>
      <c r="L212" s="748" t="s">
        <v>4044</v>
      </c>
      <c r="N212" s="748" t="str">
        <f>'Part II-Development Team'!N8</f>
        <v>OH 2</v>
      </c>
      <c r="O212" s="748" t="s">
        <v>3054</v>
      </c>
      <c r="Q212" s="748">
        <f>'Part II-Development Team'!Q8</f>
        <v>9372396365</v>
      </c>
    </row>
    <row r="213" spans="2:17" ht="12.6" customHeight="1">
      <c r="E213" s="748" t="s">
        <v>3060</v>
      </c>
      <c r="H213" s="748">
        <f>'Part II-Development Team'!H9</f>
        <v>5137748400</v>
      </c>
      <c r="J213" s="748">
        <f>'Part II-Development Team'!J9</f>
        <v>0</v>
      </c>
      <c r="K213" s="748" t="s">
        <v>2832</v>
      </c>
      <c r="L213" s="748">
        <f>'Part II-Development Team'!L9</f>
        <v>5135881600</v>
      </c>
      <c r="N213" s="748" t="s">
        <v>3059</v>
      </c>
      <c r="O213" s="748" t="str">
        <f>'Part II-Development Team'!O9</f>
        <v>dave.liette@mvg.com</v>
      </c>
    </row>
    <row r="214" spans="2:17" ht="13.15" customHeight="1">
      <c r="E214" s="748" t="s">
        <v>997</v>
      </c>
      <c r="L214" s="748" t="s">
        <v>1214</v>
      </c>
    </row>
    <row r="215" spans="2:17" ht="4.1500000000000004" customHeight="1"/>
    <row r="216" spans="2:17" ht="13.15" customHeight="1">
      <c r="B216" s="748" t="s">
        <v>3061</v>
      </c>
      <c r="C216" s="748" t="s">
        <v>2908</v>
      </c>
      <c r="L216" s="748" t="s">
        <v>1971</v>
      </c>
      <c r="O216" s="748" t="s">
        <v>1972</v>
      </c>
    </row>
    <row r="217" spans="2:17" ht="4.1500000000000004" customHeight="1"/>
    <row r="218" spans="2:17" ht="13.15" customHeight="1">
      <c r="C218" s="748" t="s">
        <v>3062</v>
      </c>
      <c r="D218" s="748" t="s">
        <v>3063</v>
      </c>
      <c r="L218" s="748" t="s">
        <v>1975</v>
      </c>
      <c r="O218" s="748" t="s">
        <v>1970</v>
      </c>
    </row>
    <row r="219" spans="2:17" ht="4.1500000000000004" customHeight="1"/>
    <row r="220" spans="2:17" ht="12.6" customHeight="1">
      <c r="D220" s="748" t="s">
        <v>3211</v>
      </c>
      <c r="E220" s="748" t="s">
        <v>2909</v>
      </c>
      <c r="H220" s="748" t="str">
        <f>'Part II-Development Team'!H16</f>
        <v>Miller-Valentine Apartments III LLC</v>
      </c>
      <c r="O220" s="748" t="s">
        <v>3065</v>
      </c>
      <c r="Q220" s="748" t="str">
        <f>'Part II-Development Team'!Q16</f>
        <v>Brian McGeady</v>
      </c>
    </row>
    <row r="221" spans="2:17" ht="12.6" customHeight="1">
      <c r="E221" s="748" t="s">
        <v>1641</v>
      </c>
      <c r="H221" s="748" t="str">
        <f>'Part II-Development Team'!H17</f>
        <v>9349 Water Stone Blvd</v>
      </c>
      <c r="O221" s="748" t="s">
        <v>2775</v>
      </c>
      <c r="Q221" s="748" t="str">
        <f>'Part II-Development Team'!Q17</f>
        <v>Authorized Signer</v>
      </c>
    </row>
    <row r="222" spans="2:17" ht="12.6" customHeight="1">
      <c r="E222" s="748" t="s">
        <v>953</v>
      </c>
      <c r="H222" s="748" t="str">
        <f>'Part II-Development Team'!H18</f>
        <v>Cincinnati</v>
      </c>
      <c r="O222" s="748" t="s">
        <v>2833</v>
      </c>
      <c r="Q222" s="748">
        <f>'Part II-Development Team'!Q18</f>
        <v>5135882694</v>
      </c>
    </row>
    <row r="223" spans="2:17" ht="12.6" customHeight="1">
      <c r="E223" s="748" t="s">
        <v>2829</v>
      </c>
      <c r="H223" s="748" t="str">
        <f>'Part II-Development Team'!H19</f>
        <v>OH</v>
      </c>
      <c r="I223" s="748" t="s">
        <v>4043</v>
      </c>
      <c r="J223" s="748">
        <f>'Part II-Development Team'!J19</f>
        <v>452498325</v>
      </c>
      <c r="L223" s="748" t="s">
        <v>4044</v>
      </c>
      <c r="N223" s="748" t="str">
        <f>'Part II-Development Team'!N19</f>
        <v>OH 2</v>
      </c>
      <c r="O223" s="748" t="s">
        <v>3054</v>
      </c>
      <c r="Q223" s="748">
        <f>'Part II-Development Team'!Q19</f>
        <v>5132563810</v>
      </c>
    </row>
    <row r="224" spans="2:17" ht="12.6" customHeight="1">
      <c r="E224" s="748" t="s">
        <v>3060</v>
      </c>
      <c r="H224" s="748">
        <f>'Part II-Development Team'!H20</f>
        <v>5137748400</v>
      </c>
      <c r="J224" s="748">
        <f>'Part II-Development Team'!J20</f>
        <v>0</v>
      </c>
      <c r="K224" s="748" t="s">
        <v>2832</v>
      </c>
      <c r="L224" s="748">
        <f>'Part II-Development Team'!L20</f>
        <v>9379135452</v>
      </c>
      <c r="N224" s="748" t="s">
        <v>3059</v>
      </c>
      <c r="O224" s="748" t="str">
        <f>'Part II-Development Team'!O20</f>
        <v>brian.mcgeady@mvg.com</v>
      </c>
    </row>
    <row r="225" spans="3:17" ht="4.1500000000000004"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2833</v>
      </c>
      <c r="Q228" s="748">
        <f>'Part II-Development Team'!Q24</f>
        <v>0</v>
      </c>
    </row>
    <row r="229" spans="3:17" ht="12.6" customHeight="1">
      <c r="E229" s="748" t="s">
        <v>2829</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2832</v>
      </c>
      <c r="L230" s="748">
        <f>'Part II-Development Team'!L26</f>
        <v>0</v>
      </c>
      <c r="N230" s="748" t="s">
        <v>3059</v>
      </c>
      <c r="O230" s="748">
        <f>'Part II-Development Team'!O26</f>
        <v>0</v>
      </c>
    </row>
    <row r="231" spans="3:17" ht="4.1500000000000004" customHeight="1"/>
    <row r="232" spans="3:17" ht="12.6" customHeight="1">
      <c r="D232" s="748" t="s">
        <v>2761</v>
      </c>
      <c r="E232" s="748" t="s">
        <v>2910</v>
      </c>
      <c r="H232" s="748">
        <f>'Part II-Development Team'!H28</f>
        <v>0</v>
      </c>
      <c r="O232" s="748" t="s">
        <v>3065</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2833</v>
      </c>
      <c r="Q234" s="748">
        <f>'Part II-Development Team'!Q30</f>
        <v>0</v>
      </c>
    </row>
    <row r="235" spans="3:17" ht="12.6" customHeight="1">
      <c r="E235" s="748" t="s">
        <v>2829</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2832</v>
      </c>
      <c r="L236" s="748">
        <f>'Part II-Development Team'!L32</f>
        <v>0</v>
      </c>
      <c r="N236" s="748" t="s">
        <v>3059</v>
      </c>
      <c r="O236" s="748">
        <f>'Part II-Development Team'!O32</f>
        <v>0</v>
      </c>
    </row>
    <row r="237" spans="3:17" ht="4.1500000000000004" customHeight="1"/>
    <row r="238" spans="3:17" ht="13.15" customHeight="1">
      <c r="C238" s="748" t="s">
        <v>3064</v>
      </c>
      <c r="D238" s="748" t="s">
        <v>2912</v>
      </c>
    </row>
    <row r="239" spans="3:17" ht="4.1500000000000004" customHeight="1"/>
    <row r="240" spans="3:17" ht="12.6" customHeight="1">
      <c r="D240" s="748" t="s">
        <v>3211</v>
      </c>
      <c r="E240" s="748" t="s">
        <v>1239</v>
      </c>
      <c r="H240" s="748" t="str">
        <f>'Part II-Development Team'!H36</f>
        <v>RBC Tax Credit Equity, LLC</v>
      </c>
      <c r="O240" s="748" t="s">
        <v>3065</v>
      </c>
      <c r="Q240" s="748" t="str">
        <f>'Part II-Development Team'!Q36</f>
        <v>Brian Flanagan</v>
      </c>
    </row>
    <row r="241" spans="3:17" ht="12.6" customHeight="1">
      <c r="E241" s="748" t="s">
        <v>1641</v>
      </c>
      <c r="H241" s="748" t="str">
        <f>'Part II-Development Team'!H37</f>
        <v>2101 Rexford Road, Suite 375W</v>
      </c>
      <c r="O241" s="748" t="s">
        <v>2775</v>
      </c>
      <c r="Q241" s="748" t="str">
        <f>'Part II-Development Team'!Q37</f>
        <v>Regional Director - Southeast</v>
      </c>
    </row>
    <row r="242" spans="3:17" ht="12.6" customHeight="1">
      <c r="E242" s="748" t="s">
        <v>953</v>
      </c>
      <c r="H242" s="748" t="str">
        <f>'Part II-Development Team'!H38</f>
        <v>Charlotte</v>
      </c>
      <c r="O242" s="748" t="s">
        <v>2833</v>
      </c>
      <c r="Q242" s="748">
        <f>'Part II-Development Team'!Q38</f>
        <v>0</v>
      </c>
    </row>
    <row r="243" spans="3:17" ht="12.6" customHeight="1">
      <c r="E243" s="748" t="s">
        <v>2829</v>
      </c>
      <c r="H243" s="748" t="str">
        <f>'Part II-Development Team'!H39</f>
        <v>NC</v>
      </c>
      <c r="I243" s="748" t="s">
        <v>3352</v>
      </c>
      <c r="J243" s="748">
        <f>'Part II-Development Team'!J39</f>
        <v>282113497</v>
      </c>
      <c r="O243" s="748" t="s">
        <v>3054</v>
      </c>
      <c r="Q243" s="748">
        <f>'Part II-Development Team'!Q39</f>
        <v>7046084188</v>
      </c>
    </row>
    <row r="244" spans="3:17" ht="12.6" customHeight="1">
      <c r="E244" s="748" t="s">
        <v>3060</v>
      </c>
      <c r="H244" s="748">
        <f>'Part II-Development Team'!H40</f>
        <v>9802336462</v>
      </c>
      <c r="J244" s="748">
        <f>'Part II-Development Team'!J40</f>
        <v>0</v>
      </c>
      <c r="K244" s="748" t="s">
        <v>2832</v>
      </c>
      <c r="L244" s="748">
        <f>'Part II-Development Team'!L40</f>
        <v>9802336501</v>
      </c>
      <c r="N244" s="748" t="s">
        <v>3059</v>
      </c>
      <c r="O244" s="748" t="str">
        <f>'Part II-Development Team'!O40</f>
        <v>brian.flanagan@rbc.com</v>
      </c>
    </row>
    <row r="245" spans="3:17" ht="4.1500000000000004" customHeight="1"/>
    <row r="246" spans="3:17" ht="12.6" customHeight="1">
      <c r="D246" s="748" t="s">
        <v>3212</v>
      </c>
      <c r="E246" s="748" t="s">
        <v>1240</v>
      </c>
      <c r="H246" s="748" t="str">
        <f>'Part II-Development Team'!H42</f>
        <v>RBC Capital Markets</v>
      </c>
      <c r="O246" s="748" t="s">
        <v>3065</v>
      </c>
      <c r="Q246" s="748" t="str">
        <f>'Part II-Development Team'!Q42</f>
        <v>Brian Flanagan</v>
      </c>
    </row>
    <row r="247" spans="3:17" ht="12.6" customHeight="1">
      <c r="E247" s="748" t="s">
        <v>1641</v>
      </c>
      <c r="H247" s="748" t="str">
        <f>'Part II-Development Team'!H43</f>
        <v>2101 Rexford Road, Suite 375W</v>
      </c>
      <c r="O247" s="748" t="s">
        <v>2775</v>
      </c>
      <c r="Q247" s="748" t="str">
        <f>'Part II-Development Team'!Q43</f>
        <v>Regional Director - Southeast</v>
      </c>
    </row>
    <row r="248" spans="3:17" ht="12.6" customHeight="1">
      <c r="E248" s="748" t="s">
        <v>953</v>
      </c>
      <c r="H248" s="748" t="str">
        <f>'Part II-Development Team'!H44</f>
        <v>Charlotte</v>
      </c>
      <c r="O248" s="748" t="s">
        <v>2833</v>
      </c>
      <c r="Q248" s="748">
        <f>'Part II-Development Team'!Q44</f>
        <v>9802336462</v>
      </c>
    </row>
    <row r="249" spans="3:17" ht="12.6" customHeight="1">
      <c r="E249" s="748" t="s">
        <v>2829</v>
      </c>
      <c r="H249" s="748" t="str">
        <f>'Part II-Development Team'!H45</f>
        <v>NC</v>
      </c>
      <c r="I249" s="748" t="s">
        <v>3352</v>
      </c>
      <c r="J249" s="748">
        <f>'Part II-Development Team'!J45</f>
        <v>282110000</v>
      </c>
      <c r="O249" s="748" t="s">
        <v>3054</v>
      </c>
      <c r="Q249" s="748">
        <f>'Part II-Development Team'!Q45</f>
        <v>7046084188</v>
      </c>
    </row>
    <row r="250" spans="3:17" ht="12.6" customHeight="1">
      <c r="E250" s="748" t="s">
        <v>3060</v>
      </c>
      <c r="H250" s="748">
        <f>'Part II-Development Team'!H46</f>
        <v>9802336462</v>
      </c>
      <c r="J250" s="748">
        <f>'Part II-Development Team'!J46</f>
        <v>0</v>
      </c>
      <c r="K250" s="748" t="s">
        <v>2832</v>
      </c>
      <c r="L250" s="748">
        <f>'Part II-Development Team'!L46</f>
        <v>9802336501</v>
      </c>
      <c r="N250" s="748" t="s">
        <v>3059</v>
      </c>
      <c r="O250" s="748" t="str">
        <f>'Part II-Development Team'!O46</f>
        <v>brian.flanagan@rbc.com</v>
      </c>
    </row>
    <row r="251" spans="3:17" ht="4.1500000000000004" customHeight="1"/>
    <row r="252" spans="3:17" ht="13.15" customHeight="1">
      <c r="C252" s="748" t="s">
        <v>3821</v>
      </c>
      <c r="D252" s="748" t="s">
        <v>994</v>
      </c>
    </row>
    <row r="253" spans="3:17" ht="4.1500000000000004" customHeight="1"/>
    <row r="254" spans="3:17" ht="12.6" customHeight="1">
      <c r="E254" s="748" t="s">
        <v>103</v>
      </c>
      <c r="H254" s="748">
        <f>'Part II-Development Team'!H50</f>
        <v>0</v>
      </c>
      <c r="O254" s="748" t="s">
        <v>3065</v>
      </c>
      <c r="Q254" s="748">
        <f>'Part II-Development Team'!Q50</f>
        <v>0</v>
      </c>
    </row>
    <row r="255" spans="3:17" ht="12.6" customHeight="1">
      <c r="E255" s="748" t="s">
        <v>1641</v>
      </c>
      <c r="H255" s="748">
        <f>'Part II-Development Team'!H51</f>
        <v>0</v>
      </c>
      <c r="O255" s="748" t="s">
        <v>2775</v>
      </c>
      <c r="Q255" s="748">
        <f>'Part II-Development Team'!Q51</f>
        <v>0</v>
      </c>
    </row>
    <row r="256" spans="3:17" ht="12.6" customHeight="1">
      <c r="E256" s="748" t="s">
        <v>953</v>
      </c>
      <c r="H256" s="748">
        <f>'Part II-Development Team'!H52</f>
        <v>0</v>
      </c>
      <c r="O256" s="748" t="s">
        <v>2833</v>
      </c>
      <c r="Q256" s="748">
        <f>'Part II-Development Team'!Q52</f>
        <v>0</v>
      </c>
    </row>
    <row r="257" spans="1:17" ht="12.6" customHeight="1">
      <c r="E257" s="748" t="s">
        <v>2829</v>
      </c>
      <c r="H257" s="748">
        <f>'Part II-Development Team'!H53</f>
        <v>0</v>
      </c>
      <c r="I257" s="748" t="s">
        <v>3352</v>
      </c>
      <c r="J257" s="748">
        <f>'Part II-Development Team'!J53</f>
        <v>0</v>
      </c>
      <c r="O257" s="748" t="s">
        <v>3054</v>
      </c>
      <c r="Q257" s="748">
        <f>'Part II-Development Team'!Q53</f>
        <v>0</v>
      </c>
    </row>
    <row r="258" spans="1:17" ht="12.6" customHeight="1">
      <c r="E258" s="748" t="s">
        <v>3060</v>
      </c>
      <c r="H258" s="748">
        <f>'Part II-Development Team'!H54</f>
        <v>0</v>
      </c>
      <c r="J258" s="748">
        <f>'Part II-Development Team'!J54</f>
        <v>0</v>
      </c>
      <c r="K258" s="748" t="s">
        <v>2832</v>
      </c>
      <c r="L258" s="748">
        <f>'Part II-Development Team'!L54</f>
        <v>0</v>
      </c>
      <c r="N258" s="748" t="s">
        <v>3059</v>
      </c>
      <c r="O258" s="748">
        <f>'Part II-Development Team'!O54</f>
        <v>0</v>
      </c>
    </row>
    <row r="259" spans="1:17" ht="13.15" customHeight="1"/>
    <row r="260" spans="1:17" ht="13.15" customHeight="1">
      <c r="A260" s="748" t="s">
        <v>1229</v>
      </c>
      <c r="B260" s="748" t="s">
        <v>995</v>
      </c>
    </row>
    <row r="261" spans="1:17" ht="9" customHeight="1"/>
    <row r="262" spans="1:17" ht="13.15" customHeight="1">
      <c r="B262" s="748" t="s">
        <v>3058</v>
      </c>
      <c r="C262" s="748" t="s">
        <v>375</v>
      </c>
      <c r="H262" s="748" t="str">
        <f>'Part II-Development Team'!H58</f>
        <v>MV Residential Construction, Inc.</v>
      </c>
      <c r="O262" s="748" t="s">
        <v>3065</v>
      </c>
      <c r="Q262" s="748" t="str">
        <f>'Part II-Development Team'!Q58</f>
        <v>Matt Jackman</v>
      </c>
    </row>
    <row r="263" spans="1:17" ht="13.15" customHeight="1">
      <c r="E263" s="748" t="s">
        <v>1641</v>
      </c>
      <c r="H263" s="748" t="str">
        <f>'Part II-Development Team'!H59</f>
        <v>9349 WaterStone Blvd.</v>
      </c>
      <c r="O263" s="748" t="s">
        <v>2775</v>
      </c>
      <c r="Q263" s="748" t="str">
        <f>'Part II-Development Team'!Q59</f>
        <v>Senior Developer</v>
      </c>
    </row>
    <row r="264" spans="1:17" ht="13.15" customHeight="1">
      <c r="E264" s="748" t="s">
        <v>953</v>
      </c>
      <c r="H264" s="748" t="str">
        <f>'Part II-Development Team'!H60</f>
        <v>Cincinnati</v>
      </c>
      <c r="O264" s="748" t="s">
        <v>2833</v>
      </c>
      <c r="Q264" s="748">
        <f>'Part II-Development Team'!Q60</f>
        <v>7049191839</v>
      </c>
    </row>
    <row r="265" spans="1:17" ht="13.15" customHeight="1">
      <c r="E265" s="748" t="s">
        <v>2829</v>
      </c>
      <c r="H265" s="748" t="str">
        <f>'Part II-Development Team'!H61</f>
        <v>OH</v>
      </c>
      <c r="I265" s="748" t="s">
        <v>3352</v>
      </c>
      <c r="J265" s="748">
        <f>'Part II-Development Team'!J61</f>
        <v>452498325</v>
      </c>
      <c r="O265" s="748" t="s">
        <v>3054</v>
      </c>
      <c r="Q265" s="748">
        <f>'Part II-Development Team'!Q61</f>
        <v>7049890976</v>
      </c>
    </row>
    <row r="266" spans="1:17" ht="13.15" customHeight="1">
      <c r="E266" s="748" t="s">
        <v>3060</v>
      </c>
      <c r="H266" s="748">
        <f>'Part II-Development Team'!H62</f>
        <v>5137748400</v>
      </c>
      <c r="J266" s="748">
        <f>'Part II-Development Team'!J62</f>
        <v>0</v>
      </c>
      <c r="K266" s="748" t="s">
        <v>2832</v>
      </c>
      <c r="L266" s="748">
        <f>'Part II-Development Team'!L62</f>
        <v>7042884406</v>
      </c>
      <c r="N266" s="748" t="s">
        <v>3059</v>
      </c>
      <c r="O266" s="748" t="str">
        <f>'Part II-Development Team'!O62</f>
        <v>matt.jackman@mvg.com</v>
      </c>
    </row>
    <row r="267" spans="1:17" ht="6.6" customHeight="1"/>
    <row r="268" spans="1:17" ht="13.15" customHeight="1">
      <c r="B268" s="748" t="s">
        <v>3061</v>
      </c>
      <c r="C268" s="748" t="s">
        <v>376</v>
      </c>
      <c r="H268" s="748">
        <f>'Part II-Development Team'!H64</f>
        <v>0</v>
      </c>
      <c r="O268" s="748" t="s">
        <v>3065</v>
      </c>
      <c r="Q268" s="748">
        <f>'Part II-Development Team'!Q64</f>
        <v>0</v>
      </c>
    </row>
    <row r="269" spans="1:17" ht="13.15" customHeight="1">
      <c r="E269" s="748" t="s">
        <v>1641</v>
      </c>
      <c r="H269" s="748">
        <f>'Part II-Development Team'!H65</f>
        <v>0</v>
      </c>
      <c r="O269" s="748" t="s">
        <v>2775</v>
      </c>
      <c r="Q269" s="748">
        <f>'Part II-Development Team'!Q65</f>
        <v>0</v>
      </c>
    </row>
    <row r="270" spans="1:17" ht="13.15" customHeight="1">
      <c r="E270" s="748" t="s">
        <v>953</v>
      </c>
      <c r="H270" s="748">
        <f>'Part II-Development Team'!H66</f>
        <v>0</v>
      </c>
      <c r="O270" s="748" t="s">
        <v>2833</v>
      </c>
      <c r="Q270" s="748">
        <f>'Part II-Development Team'!Q66</f>
        <v>0</v>
      </c>
    </row>
    <row r="271" spans="1:17" ht="13.15" customHeight="1">
      <c r="E271" s="748" t="s">
        <v>2829</v>
      </c>
      <c r="H271" s="748">
        <f>'Part II-Development Team'!H67</f>
        <v>0</v>
      </c>
      <c r="I271" s="748" t="s">
        <v>3352</v>
      </c>
      <c r="J271" s="748">
        <f>'Part II-Development Team'!J67</f>
        <v>0</v>
      </c>
      <c r="O271" s="748" t="s">
        <v>3054</v>
      </c>
      <c r="Q271" s="748">
        <f>'Part II-Development Team'!Q67</f>
        <v>0</v>
      </c>
    </row>
    <row r="272" spans="1:17" ht="13.15" customHeight="1">
      <c r="E272" s="748" t="s">
        <v>3060</v>
      </c>
      <c r="H272" s="748">
        <f>'Part II-Development Team'!H68</f>
        <v>0</v>
      </c>
      <c r="J272" s="748">
        <f>'Part II-Development Team'!J68</f>
        <v>0</v>
      </c>
      <c r="K272" s="748" t="s">
        <v>2832</v>
      </c>
      <c r="L272" s="748">
        <f>'Part II-Development Team'!L68</f>
        <v>0</v>
      </c>
      <c r="N272" s="748" t="s">
        <v>3059</v>
      </c>
      <c r="O272" s="748">
        <f>'Part II-Development Team'!O68</f>
        <v>0</v>
      </c>
    </row>
    <row r="273" spans="1:17" ht="6.6" customHeight="1"/>
    <row r="274" spans="1:17" ht="13.15" customHeight="1">
      <c r="B274" s="748" t="s">
        <v>1238</v>
      </c>
      <c r="C274" s="748" t="s">
        <v>2279</v>
      </c>
      <c r="H274" s="748">
        <f>'Part II-Development Team'!H70</f>
        <v>0</v>
      </c>
      <c r="O274" s="748" t="s">
        <v>3065</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2833</v>
      </c>
      <c r="Q276" s="748">
        <f>'Part II-Development Team'!Q72</f>
        <v>0</v>
      </c>
    </row>
    <row r="277" spans="1:17" ht="13.15" customHeight="1">
      <c r="E277" s="748" t="s">
        <v>2829</v>
      </c>
      <c r="H277" s="748">
        <f>'Part II-Development Team'!H73</f>
        <v>0</v>
      </c>
      <c r="I277" s="748" t="s">
        <v>3352</v>
      </c>
      <c r="J277" s="748">
        <f>'Part II-Development Team'!J73</f>
        <v>0</v>
      </c>
      <c r="O277" s="748" t="s">
        <v>3054</v>
      </c>
      <c r="Q277" s="748">
        <f>'Part II-Development Team'!Q73</f>
        <v>0</v>
      </c>
    </row>
    <row r="278" spans="1:17" ht="13.15" customHeight="1">
      <c r="E278" s="748" t="s">
        <v>3060</v>
      </c>
      <c r="H278" s="748">
        <f>'Part II-Development Team'!H74</f>
        <v>0</v>
      </c>
      <c r="J278" s="748">
        <f>'Part II-Development Team'!J74</f>
        <v>0</v>
      </c>
      <c r="K278" s="748" t="s">
        <v>2832</v>
      </c>
      <c r="L278" s="748">
        <f>'Part II-Development Team'!L74</f>
        <v>0</v>
      </c>
      <c r="N278" s="748" t="s">
        <v>3059</v>
      </c>
      <c r="O278" s="748">
        <f>'Part II-Development Team'!O74</f>
        <v>0</v>
      </c>
    </row>
    <row r="279" spans="1:17" ht="6.6" customHeight="1"/>
    <row r="280" spans="1:17" ht="13.15" customHeight="1">
      <c r="B280" s="748" t="s">
        <v>3210</v>
      </c>
      <c r="C280" s="748" t="s">
        <v>377</v>
      </c>
      <c r="H280" s="748">
        <f>'Part II-Development Team'!H76</f>
        <v>0</v>
      </c>
      <c r="O280" s="748" t="s">
        <v>3065</v>
      </c>
      <c r="Q280" s="748">
        <f>'Part II-Development Team'!Q76</f>
        <v>0</v>
      </c>
    </row>
    <row r="281" spans="1:17" ht="13.15" customHeight="1">
      <c r="E281" s="748" t="s">
        <v>1641</v>
      </c>
      <c r="H281" s="748">
        <f>'Part II-Development Team'!H77</f>
        <v>0</v>
      </c>
      <c r="O281" s="748" t="s">
        <v>2775</v>
      </c>
      <c r="Q281" s="748">
        <f>'Part II-Development Team'!Q77</f>
        <v>0</v>
      </c>
    </row>
    <row r="282" spans="1:17" ht="13.15" customHeight="1">
      <c r="E282" s="748" t="s">
        <v>953</v>
      </c>
      <c r="H282" s="748">
        <f>'Part II-Development Team'!H78</f>
        <v>0</v>
      </c>
      <c r="O282" s="748" t="s">
        <v>2833</v>
      </c>
      <c r="Q282" s="748">
        <f>'Part II-Development Team'!Q78</f>
        <v>0</v>
      </c>
    </row>
    <row r="283" spans="1:17" ht="13.15" customHeight="1">
      <c r="E283" s="748" t="s">
        <v>2829</v>
      </c>
      <c r="H283" s="748">
        <f>'Part II-Development Team'!H79</f>
        <v>0</v>
      </c>
      <c r="I283" s="748" t="s">
        <v>3352</v>
      </c>
      <c r="J283" s="748">
        <f>'Part II-Development Team'!J79</f>
        <v>0</v>
      </c>
      <c r="O283" s="748" t="s">
        <v>3054</v>
      </c>
      <c r="Q283" s="748">
        <f>'Part II-Development Team'!Q79</f>
        <v>0</v>
      </c>
    </row>
    <row r="284" spans="1:17" ht="13.15" customHeight="1">
      <c r="E284" s="748" t="s">
        <v>3060</v>
      </c>
      <c r="H284" s="748">
        <f>'Part II-Development Team'!H80</f>
        <v>0</v>
      </c>
      <c r="J284" s="748">
        <f>'Part II-Development Team'!J80</f>
        <v>0</v>
      </c>
      <c r="K284" s="748" t="s">
        <v>2832</v>
      </c>
      <c r="L284" s="748">
        <f>'Part II-Development Team'!L80</f>
        <v>0</v>
      </c>
      <c r="N284" s="748" t="s">
        <v>3059</v>
      </c>
      <c r="O284" s="748">
        <f>'Part II-Development Team'!O80</f>
        <v>0</v>
      </c>
    </row>
    <row r="285" spans="1:17" ht="13.15" customHeight="1"/>
    <row r="286" spans="1:17" ht="13.15" customHeight="1">
      <c r="A286" s="748" t="s">
        <v>1231</v>
      </c>
      <c r="B286" s="748" t="s">
        <v>378</v>
      </c>
    </row>
    <row r="287" spans="1:17" ht="9" customHeight="1"/>
    <row r="288" spans="1:17" ht="13.15" customHeight="1">
      <c r="B288" s="748" t="s">
        <v>3058</v>
      </c>
      <c r="C288" s="748" t="s">
        <v>379</v>
      </c>
      <c r="H288" s="748">
        <f>'Part II-Development Team'!H84</f>
        <v>0</v>
      </c>
      <c r="O288" s="748" t="s">
        <v>3065</v>
      </c>
      <c r="Q288" s="748">
        <f>'Part II-Development Team'!Q84</f>
        <v>0</v>
      </c>
    </row>
    <row r="289" spans="2:17" ht="13.15" customHeight="1">
      <c r="E289" s="748" t="s">
        <v>1641</v>
      </c>
      <c r="H289" s="748">
        <f>'Part II-Development Team'!H85</f>
        <v>0</v>
      </c>
      <c r="O289" s="748" t="s">
        <v>2775</v>
      </c>
      <c r="Q289" s="748">
        <f>'Part II-Development Team'!Q85</f>
        <v>0</v>
      </c>
    </row>
    <row r="290" spans="2:17" ht="13.15" customHeight="1">
      <c r="E290" s="748" t="s">
        <v>953</v>
      </c>
      <c r="H290" s="748">
        <f>'Part II-Development Team'!H86</f>
        <v>0</v>
      </c>
      <c r="O290" s="748" t="s">
        <v>2833</v>
      </c>
      <c r="Q290" s="748">
        <f>'Part II-Development Team'!Q86</f>
        <v>0</v>
      </c>
    </row>
    <row r="291" spans="2:17" ht="13.15" customHeight="1">
      <c r="E291" s="748" t="s">
        <v>2829</v>
      </c>
      <c r="H291" s="748">
        <f>'Part II-Development Team'!H87</f>
        <v>0</v>
      </c>
      <c r="I291" s="748" t="s">
        <v>3352</v>
      </c>
      <c r="J291" s="748">
        <f>'Part II-Development Team'!J87</f>
        <v>0</v>
      </c>
      <c r="O291" s="748" t="s">
        <v>3054</v>
      </c>
      <c r="Q291" s="748">
        <f>'Part II-Development Team'!Q87</f>
        <v>0</v>
      </c>
    </row>
    <row r="292" spans="2:17" ht="13.15" customHeight="1">
      <c r="E292" s="748" t="s">
        <v>3060</v>
      </c>
      <c r="H292" s="748">
        <f>'Part II-Development Team'!H88</f>
        <v>0</v>
      </c>
      <c r="J292" s="748">
        <f>'Part II-Development Team'!J88</f>
        <v>0</v>
      </c>
      <c r="K292" s="748" t="s">
        <v>2832</v>
      </c>
      <c r="L292" s="748">
        <f>'Part II-Development Team'!L88</f>
        <v>0</v>
      </c>
      <c r="N292" s="748" t="s">
        <v>3059</v>
      </c>
      <c r="O292" s="748">
        <f>'Part II-Development Team'!O88</f>
        <v>0</v>
      </c>
    </row>
    <row r="293" spans="2:17" ht="6.6" customHeight="1"/>
    <row r="294" spans="2:17" ht="13.15" customHeight="1">
      <c r="B294" s="748" t="s">
        <v>3061</v>
      </c>
      <c r="C294" s="748" t="s">
        <v>380</v>
      </c>
      <c r="H294" s="748" t="str">
        <f>'Part II-Development Team'!H90</f>
        <v>MV Residential Construction, Inc.</v>
      </c>
      <c r="O294" s="748" t="s">
        <v>3065</v>
      </c>
      <c r="Q294" s="748" t="str">
        <f>'Part II-Development Team'!Q90</f>
        <v>Randy J. Humbert</v>
      </c>
    </row>
    <row r="295" spans="2:17" ht="13.15" customHeight="1">
      <c r="E295" s="748" t="s">
        <v>1641</v>
      </c>
      <c r="H295" s="748" t="str">
        <f>'Part II-Development Team'!H91</f>
        <v>9349 WaterStone Blvd.</v>
      </c>
      <c r="O295" s="748" t="s">
        <v>2775</v>
      </c>
      <c r="Q295" s="748" t="str">
        <f>'Part II-Development Team'!Q91</f>
        <v>President</v>
      </c>
    </row>
    <row r="296" spans="2:17" ht="13.15" customHeight="1">
      <c r="E296" s="748" t="s">
        <v>953</v>
      </c>
      <c r="H296" s="748" t="str">
        <f>'Part II-Development Team'!H92</f>
        <v>Cincinnati</v>
      </c>
      <c r="O296" s="748" t="s">
        <v>2833</v>
      </c>
      <c r="Q296" s="748">
        <f>'Part II-Development Team'!Q92</f>
        <v>5135881605</v>
      </c>
    </row>
    <row r="297" spans="2:17" ht="13.15" customHeight="1">
      <c r="E297" s="748" t="s">
        <v>2829</v>
      </c>
      <c r="H297" s="748" t="str">
        <f>'Part II-Development Team'!H93</f>
        <v>OH</v>
      </c>
      <c r="I297" s="748" t="s">
        <v>3352</v>
      </c>
      <c r="J297" s="748">
        <f>'Part II-Development Team'!J93</f>
        <v>452498325</v>
      </c>
      <c r="O297" s="748" t="s">
        <v>3054</v>
      </c>
      <c r="Q297" s="748">
        <f>'Part II-Development Team'!Q93</f>
        <v>5135433936</v>
      </c>
    </row>
    <row r="298" spans="2:17" ht="13.15" customHeight="1">
      <c r="E298" s="748" t="s">
        <v>3060</v>
      </c>
      <c r="H298" s="748">
        <f>'Part II-Development Team'!H94</f>
        <v>5137748400</v>
      </c>
      <c r="J298" s="748">
        <f>'Part II-Development Team'!J94</f>
        <v>0</v>
      </c>
      <c r="K298" s="748" t="s">
        <v>2832</v>
      </c>
      <c r="L298" s="748">
        <f>'Part II-Development Team'!L94</f>
        <v>9379130370</v>
      </c>
      <c r="N298" s="748" t="s">
        <v>3059</v>
      </c>
      <c r="O298" s="748" t="str">
        <f>'Part II-Development Team'!O94</f>
        <v>randy.humbert@mvg.com</v>
      </c>
    </row>
    <row r="299" spans="2:17" ht="6.6" customHeight="1"/>
    <row r="300" spans="2:17" ht="13.15" customHeight="1">
      <c r="B300" s="748" t="s">
        <v>1238</v>
      </c>
      <c r="C300" s="748" t="s">
        <v>381</v>
      </c>
      <c r="H300" s="748" t="str">
        <f>'Part II-Development Team'!H96</f>
        <v>MV Residential Property Management, Inc.</v>
      </c>
      <c r="O300" s="748" t="s">
        <v>3065</v>
      </c>
      <c r="Q300" s="748" t="str">
        <f>'Part II-Development Team'!Q96</f>
        <v>James R. Fenwick</v>
      </c>
    </row>
    <row r="301" spans="2:17" ht="13.15" customHeight="1">
      <c r="E301" s="748" t="s">
        <v>1641</v>
      </c>
      <c r="H301" s="748" t="str">
        <f>'Part II-Development Team'!H97</f>
        <v>9349 WaterStone Blvd.</v>
      </c>
      <c r="O301" s="748" t="s">
        <v>2775</v>
      </c>
      <c r="Q301" s="748" t="str">
        <f>'Part II-Development Team'!Q97</f>
        <v>President</v>
      </c>
    </row>
    <row r="302" spans="2:17" ht="13.15" customHeight="1">
      <c r="E302" s="748" t="s">
        <v>953</v>
      </c>
      <c r="H302" s="748" t="str">
        <f>'Part II-Development Team'!H98</f>
        <v>Cincinnati</v>
      </c>
      <c r="O302" s="748" t="s">
        <v>2833</v>
      </c>
      <c r="Q302" s="748">
        <f>'Part II-Development Team'!Q98</f>
        <v>5135834764</v>
      </c>
    </row>
    <row r="303" spans="2:17" ht="13.15" customHeight="1">
      <c r="E303" s="748" t="s">
        <v>2829</v>
      </c>
      <c r="H303" s="748" t="str">
        <f>'Part II-Development Team'!H99</f>
        <v>OH</v>
      </c>
      <c r="I303" s="748" t="s">
        <v>3352</v>
      </c>
      <c r="J303" s="748">
        <f>'Part II-Development Team'!J99</f>
        <v>452498325</v>
      </c>
      <c r="O303" s="748" t="s">
        <v>3054</v>
      </c>
      <c r="Q303" s="748">
        <f>'Part II-Development Team'!Q99</f>
        <v>5135197820</v>
      </c>
    </row>
    <row r="304" spans="2:17" ht="13.15" customHeight="1">
      <c r="E304" s="748" t="s">
        <v>3060</v>
      </c>
      <c r="H304" s="748">
        <f>'Part II-Development Team'!H100</f>
        <v>5137748400</v>
      </c>
      <c r="J304" s="748">
        <f>'Part II-Development Team'!J100</f>
        <v>0</v>
      </c>
      <c r="K304" s="748" t="s">
        <v>2832</v>
      </c>
      <c r="L304" s="748">
        <f>'Part II-Development Team'!L100</f>
        <v>5137296846</v>
      </c>
      <c r="N304" s="748" t="s">
        <v>3059</v>
      </c>
      <c r="O304" s="748" t="str">
        <f>'Part II-Development Team'!O100</f>
        <v>jim.fenwick@mvg.com</v>
      </c>
    </row>
    <row r="305" spans="2:17" ht="6.6" customHeight="1"/>
    <row r="306" spans="2:17" ht="13.15" customHeight="1">
      <c r="B306" s="748" t="s">
        <v>3210</v>
      </c>
      <c r="C306" s="748" t="s">
        <v>382</v>
      </c>
      <c r="H306" s="748" t="str">
        <f>'Part II-Development Team'!H102</f>
        <v>Arnall Golden Gregory</v>
      </c>
      <c r="O306" s="748" t="s">
        <v>3065</v>
      </c>
      <c r="Q306" s="748" t="str">
        <f>'Part II-Development Team'!Q102</f>
        <v>Jeffrey Adams</v>
      </c>
    </row>
    <row r="307" spans="2:17" ht="13.15" customHeight="1">
      <c r="E307" s="748" t="s">
        <v>1641</v>
      </c>
      <c r="H307" s="748" t="str">
        <f>'Part II-Development Team'!H103</f>
        <v>171 17th Street NW Suite 2100</v>
      </c>
      <c r="O307" s="748" t="s">
        <v>2775</v>
      </c>
      <c r="Q307" s="748" t="str">
        <f>'Part II-Development Team'!Q103</f>
        <v>Partner</v>
      </c>
    </row>
    <row r="308" spans="2:17" ht="13.15" customHeight="1">
      <c r="E308" s="748" t="s">
        <v>953</v>
      </c>
      <c r="H308" s="748" t="str">
        <f>'Part II-Development Team'!H104</f>
        <v>Atlanta</v>
      </c>
      <c r="O308" s="748" t="s">
        <v>2833</v>
      </c>
      <c r="Q308" s="748">
        <f>'Part II-Development Team'!Q104</f>
        <v>4048737014</v>
      </c>
    </row>
    <row r="309" spans="2:17" ht="13.15" customHeight="1">
      <c r="E309" s="748" t="s">
        <v>2829</v>
      </c>
      <c r="H309" s="748" t="str">
        <f>'Part II-Development Team'!H105</f>
        <v>GA</v>
      </c>
      <c r="I309" s="748" t="s">
        <v>3352</v>
      </c>
      <c r="J309" s="748">
        <f>'Part II-Development Team'!J105</f>
        <v>303631031</v>
      </c>
      <c r="O309" s="748" t="s">
        <v>3054</v>
      </c>
      <c r="Q309" s="748">
        <f>'Part II-Development Team'!Q105</f>
        <v>0</v>
      </c>
    </row>
    <row r="310" spans="2:17" ht="13.15" customHeight="1">
      <c r="E310" s="748" t="s">
        <v>3060</v>
      </c>
      <c r="H310" s="748">
        <f>'Part II-Development Team'!H106</f>
        <v>4048737014</v>
      </c>
      <c r="J310" s="748">
        <f>'Part II-Development Team'!J106</f>
        <v>0</v>
      </c>
      <c r="K310" s="748" t="s">
        <v>2832</v>
      </c>
      <c r="L310" s="748">
        <f>'Part II-Development Team'!L106</f>
        <v>4048737015</v>
      </c>
      <c r="N310" s="748" t="s">
        <v>3059</v>
      </c>
      <c r="O310" s="748" t="str">
        <f>'Part II-Development Team'!O106</f>
        <v>Jeffrey.Adams@agg.com</v>
      </c>
    </row>
    <row r="311" spans="2:17" ht="6" customHeight="1"/>
    <row r="312" spans="2:17" ht="0.6" customHeight="1"/>
    <row r="313" spans="2:17" ht="13.15" customHeight="1">
      <c r="B313" s="748" t="s">
        <v>2762</v>
      </c>
      <c r="C313" s="748" t="s">
        <v>383</v>
      </c>
      <c r="H313" s="748" t="str">
        <f>'Part II-Development Team'!H109</f>
        <v>Flagel, Huber, Flagel &amp; Co.</v>
      </c>
      <c r="O313" s="748" t="s">
        <v>3065</v>
      </c>
      <c r="Q313" s="748" t="str">
        <f>'Part II-Development Team'!Q109</f>
        <v>Randall S. Kuvin</v>
      </c>
    </row>
    <row r="314" spans="2:17" ht="13.15" customHeight="1">
      <c r="E314" s="748" t="s">
        <v>1641</v>
      </c>
      <c r="H314" s="748" t="str">
        <f>'Part II-Development Team'!H110</f>
        <v>3400 South Dixie Drive</v>
      </c>
      <c r="O314" s="748" t="s">
        <v>2775</v>
      </c>
      <c r="Q314" s="748" t="str">
        <f>'Part II-Development Team'!Q110</f>
        <v>Partner</v>
      </c>
    </row>
    <row r="315" spans="2:17" ht="13.15" customHeight="1">
      <c r="E315" s="748" t="s">
        <v>953</v>
      </c>
      <c r="H315" s="748" t="str">
        <f>'Part II-Development Team'!H111</f>
        <v>Dayton</v>
      </c>
      <c r="O315" s="748" t="s">
        <v>2833</v>
      </c>
      <c r="Q315" s="748">
        <f>'Part II-Development Team'!Q111</f>
        <v>9372993400</v>
      </c>
    </row>
    <row r="316" spans="2:17" ht="13.15" customHeight="1">
      <c r="E316" s="748" t="s">
        <v>2829</v>
      </c>
      <c r="H316" s="748" t="str">
        <f>'Part II-Development Team'!H112</f>
        <v>OH</v>
      </c>
      <c r="I316" s="748" t="s">
        <v>3352</v>
      </c>
      <c r="J316" s="748">
        <f>'Part II-Development Team'!J112</f>
        <v>0</v>
      </c>
      <c r="O316" s="748" t="s">
        <v>3054</v>
      </c>
      <c r="Q316" s="748">
        <f>'Part II-Development Team'!Q112</f>
        <v>0</v>
      </c>
    </row>
    <row r="317" spans="2:17" ht="13.15" customHeight="1">
      <c r="E317" s="748" t="s">
        <v>3060</v>
      </c>
      <c r="H317" s="748">
        <f>'Part II-Development Team'!H113</f>
        <v>9372993400</v>
      </c>
      <c r="J317" s="748">
        <f>'Part II-Development Team'!J113</f>
        <v>0</v>
      </c>
      <c r="K317" s="748" t="s">
        <v>2832</v>
      </c>
      <c r="L317" s="748">
        <f>'Part II-Development Team'!L113</f>
        <v>9372935481</v>
      </c>
      <c r="N317" s="748" t="s">
        <v>3059</v>
      </c>
      <c r="O317" s="748" t="str">
        <f>'Part II-Development Team'!O113</f>
        <v>rkuvin@fhf-cpa.com</v>
      </c>
    </row>
    <row r="318" spans="2:17" ht="6.6" customHeight="1"/>
    <row r="319" spans="2:17" ht="13.15" customHeight="1">
      <c r="B319" s="748" t="s">
        <v>2763</v>
      </c>
      <c r="C319" s="748" t="s">
        <v>384</v>
      </c>
      <c r="H319" s="748" t="str">
        <f>'Part II-Development Team'!H115</f>
        <v>Miller Player and Associates Architects and Planners, LTD</v>
      </c>
      <c r="O319" s="748" t="s">
        <v>3065</v>
      </c>
      <c r="Q319" s="748" t="str">
        <f>'Part II-Development Team'!Q115</f>
        <v>Buddy Player</v>
      </c>
    </row>
    <row r="320" spans="2:17" ht="13.15" customHeight="1">
      <c r="E320" s="748" t="s">
        <v>1641</v>
      </c>
      <c r="H320" s="748" t="str">
        <f>'Part II-Development Team'!H116</f>
        <v>1010 East North Street, Suite A</v>
      </c>
      <c r="O320" s="748" t="s">
        <v>2775</v>
      </c>
      <c r="Q320" s="748" t="str">
        <f>'Part II-Development Team'!Q116</f>
        <v>Partner</v>
      </c>
    </row>
    <row r="321" spans="1:18" ht="13.15" customHeight="1">
      <c r="E321" s="748" t="s">
        <v>953</v>
      </c>
      <c r="H321" s="748" t="str">
        <f>'Part II-Development Team'!H117</f>
        <v>Greenville</v>
      </c>
      <c r="O321" s="748" t="s">
        <v>2833</v>
      </c>
      <c r="Q321" s="748">
        <f>'Part II-Development Team'!Q117</f>
        <v>0</v>
      </c>
    </row>
    <row r="322" spans="1:18" ht="13.15" customHeight="1">
      <c r="E322" s="748" t="s">
        <v>2829</v>
      </c>
      <c r="H322" s="748" t="str">
        <f>'Part II-Development Team'!H118</f>
        <v>SC</v>
      </c>
      <c r="I322" s="748" t="s">
        <v>3352</v>
      </c>
      <c r="J322" s="748">
        <f>'Part II-Development Team'!J118</f>
        <v>296013150</v>
      </c>
      <c r="O322" s="748" t="s">
        <v>3054</v>
      </c>
      <c r="Q322" s="748">
        <f>'Part II-Development Team'!Q118</f>
        <v>0</v>
      </c>
    </row>
    <row r="323" spans="1:18" ht="13.15" customHeight="1">
      <c r="E323" s="748" t="s">
        <v>3060</v>
      </c>
      <c r="H323" s="748">
        <f>'Part II-Development Team'!H119</f>
        <v>8642420177</v>
      </c>
      <c r="J323" s="748">
        <f>'Part II-Development Team'!J119</f>
        <v>231</v>
      </c>
      <c r="K323" s="748" t="s">
        <v>2832</v>
      </c>
      <c r="L323" s="748">
        <f>'Part II-Development Team'!L119</f>
        <v>8642351901</v>
      </c>
      <c r="N323" s="748" t="s">
        <v>3059</v>
      </c>
      <c r="O323" s="748" t="str">
        <f>'Part II-Development Team'!O119</f>
        <v>tplayer@millerplayer.com</v>
      </c>
    </row>
    <row r="324" spans="1:18" ht="13.15" customHeight="1"/>
    <row r="325" spans="1:18" ht="13.15" customHeight="1">
      <c r="A325" s="748" t="s">
        <v>2822</v>
      </c>
      <c r="B325" s="748" t="s">
        <v>365</v>
      </c>
    </row>
    <row r="326" spans="1:18" ht="6.6" customHeight="1"/>
    <row r="327" spans="1:18" ht="21.6" customHeight="1">
      <c r="A327" s="748" t="s">
        <v>976</v>
      </c>
      <c r="E327" s="748" t="s">
        <v>4045</v>
      </c>
      <c r="F327" s="748" t="s">
        <v>3599</v>
      </c>
      <c r="G327" s="748" t="s">
        <v>4046</v>
      </c>
      <c r="J327" s="748" t="s">
        <v>4047</v>
      </c>
      <c r="L327" s="748" t="s">
        <v>4048</v>
      </c>
      <c r="N327" s="748" t="s">
        <v>4049</v>
      </c>
      <c r="P327" s="748" t="s">
        <v>3600</v>
      </c>
      <c r="R327" s="748" t="s">
        <v>3601</v>
      </c>
    </row>
    <row r="328" spans="1:18" ht="21.6" customHeight="1"/>
    <row r="329" spans="1:18" ht="21.6" customHeight="1"/>
    <row r="330" spans="1:18" ht="21.6" customHeight="1"/>
    <row r="331" spans="1:18" ht="21.6" customHeight="1"/>
    <row r="332" spans="1:18" ht="13.9" customHeight="1">
      <c r="A332" s="748" t="s">
        <v>3533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v>
      </c>
    </row>
    <row r="333" spans="1:18" ht="13.9"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3525</v>
      </c>
      <c r="E335" s="748">
        <f>'Part II-Development Team'!E131</f>
        <v>0</v>
      </c>
      <c r="F335" s="748">
        <f>'Part II-Development Team'!F131</f>
        <v>0</v>
      </c>
      <c r="G335" s="748">
        <f>'Part II-Development Team'!G131</f>
        <v>0</v>
      </c>
      <c r="J335" s="748">
        <f>'Part II-Development Team'!J131</f>
        <v>0</v>
      </c>
      <c r="L335" s="748">
        <f>'Part II-Development Team'!L131</f>
        <v>0</v>
      </c>
      <c r="N335" s="748">
        <f>'Part II-Development Team'!N131</f>
        <v>0</v>
      </c>
      <c r="P335" s="748">
        <f>'Part II-Development Team'!P131</f>
        <v>0</v>
      </c>
      <c r="R335" s="748">
        <f>'Part II-Development Team'!R131</f>
        <v>0</v>
      </c>
    </row>
    <row r="336" spans="1:18" ht="13.9" customHeight="1">
      <c r="A336" s="748" t="s">
        <v>3526</v>
      </c>
      <c r="E336" s="748">
        <f>'Part II-Development Team'!E132</f>
        <v>0</v>
      </c>
      <c r="F336" s="748">
        <f>'Part II-Development Team'!F132</f>
        <v>0</v>
      </c>
      <c r="G336" s="748">
        <f>'Part II-Development Team'!G132</f>
        <v>0</v>
      </c>
      <c r="J336" s="748">
        <f>'Part II-Development Team'!J132</f>
        <v>0</v>
      </c>
      <c r="L336" s="748">
        <f>'Part II-Development Team'!L132</f>
        <v>0</v>
      </c>
      <c r="N336" s="748">
        <f>'Part II-Development Team'!N132</f>
        <v>0</v>
      </c>
      <c r="P336" s="748">
        <f>'Part II-Development Team'!P132</f>
        <v>0</v>
      </c>
      <c r="R336" s="748">
        <f>'Part II-Development Team'!R132</f>
        <v>0</v>
      </c>
    </row>
    <row r="337" spans="1:18" ht="13.9" customHeight="1">
      <c r="A337" s="748" t="s">
        <v>3527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3531</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2280</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3532</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832</v>
      </c>
      <c r="R345" s="748">
        <f>SUM(R332:S344)</f>
        <v>1</v>
      </c>
    </row>
    <row r="346" spans="1:18" ht="12" customHeight="1"/>
    <row r="347" spans="1:18" ht="12" customHeight="1">
      <c r="A347" s="748" t="s">
        <v>2824</v>
      </c>
      <c r="C347" s="748" t="s">
        <v>879</v>
      </c>
      <c r="N347" s="748" t="s">
        <v>822</v>
      </c>
      <c r="O347" s="748" t="s">
        <v>89</v>
      </c>
    </row>
    <row r="348" spans="1:18" ht="3.6" customHeight="1"/>
    <row r="349" spans="1:18" ht="42.6" customHeight="1">
      <c r="A349" s="748" t="str">
        <f>'Part II-Development Team'!A145</f>
        <v>Miller-Valentine Apartments III LLC, MV Residential Construction, Inc. &amp; MV Residential Property Management, Inc. are affiliates and are part of the same organization, Miller-Valentine Operations, Inc.  The collection of these and other corporate commercial entities are typically referred to as the Miller-Valentine Group (MVG) of companies for branding purposes.  The MVG group of companies have been in existence since the 1960s.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2011-030 Water Tower Park Apartments, Gray, Jones County</v>
      </c>
    </row>
    <row r="356" spans="1:16">
      <c r="A356" s="748" t="s">
        <v>950</v>
      </c>
      <c r="B356" s="748" t="s">
        <v>3769</v>
      </c>
    </row>
    <row r="358" spans="1:16">
      <c r="B358" s="748" t="str">
        <f>'Part III A-Sources of Funds'!B5</f>
        <v>Yes</v>
      </c>
      <c r="C358" s="748" t="s">
        <v>3651</v>
      </c>
      <c r="E358" s="748" t="str">
        <f>'Part III A-Sources of Funds'!E5</f>
        <v>No</v>
      </c>
      <c r="F358" s="748" t="s">
        <v>1980</v>
      </c>
      <c r="J358" s="748">
        <f>'Part III A-Sources of Funds'!J5</f>
        <v>0</v>
      </c>
      <c r="M358" s="748" t="str">
        <f>'Part III A-Sources of Funds'!M5</f>
        <v>No</v>
      </c>
      <c r="N358" s="748" t="s">
        <v>845</v>
      </c>
    </row>
    <row r="359" spans="1:16">
      <c r="B359" s="748" t="str">
        <f>'Part III A-Sources of Funds'!B6</f>
        <v>No</v>
      </c>
      <c r="C359" s="748" t="s">
        <v>2834</v>
      </c>
      <c r="E359" s="748" t="str">
        <f>'Part III A-Sources of Funds'!E6</f>
        <v>No</v>
      </c>
      <c r="F359" s="748" t="s">
        <v>3310</v>
      </c>
      <c r="J359" s="748" t="str">
        <f>'Part III A-Sources of Funds'!J6</f>
        <v>No</v>
      </c>
      <c r="K359" s="748" t="s">
        <v>846</v>
      </c>
      <c r="M359" s="748" t="str">
        <f>'Part III A-Sources of Funds'!M6</f>
        <v>No</v>
      </c>
      <c r="N359" s="748" t="s">
        <v>844</v>
      </c>
    </row>
    <row r="360" spans="1:16">
      <c r="B360" s="748" t="str">
        <f>'Part III A-Sources of Funds'!B7</f>
        <v>No</v>
      </c>
      <c r="C360" s="748" t="s">
        <v>2835</v>
      </c>
      <c r="E360" s="748" t="str">
        <f>'Part III A-Sources of Funds'!E7</f>
        <v>No</v>
      </c>
      <c r="F360" s="748" t="s">
        <v>3309</v>
      </c>
      <c r="J360" s="748" t="str">
        <f>'Part III A-Sources of Funds'!J7</f>
        <v>No</v>
      </c>
      <c r="K360" s="748" t="s">
        <v>2290</v>
      </c>
      <c r="M360" s="748" t="str">
        <f>'Part III A-Sources of Funds'!M7</f>
        <v>No</v>
      </c>
      <c r="N360" s="748" t="s">
        <v>1981</v>
      </c>
      <c r="P360" s="748">
        <f>'Part III A-Sources of Funds'!P7</f>
        <v>0</v>
      </c>
    </row>
    <row r="361" spans="1:16">
      <c r="B361" s="748" t="str">
        <f>'Part III A-Sources of Funds'!B8</f>
        <v>No</v>
      </c>
      <c r="C361" s="748" t="s">
        <v>3913</v>
      </c>
      <c r="E361" s="748" t="str">
        <f>'Part III A-Sources of Funds'!E8</f>
        <v>No</v>
      </c>
      <c r="F361" s="748" t="s">
        <v>3914</v>
      </c>
      <c r="H361" s="748" t="str">
        <f>'Part III A-Sources of Funds'!H8</f>
        <v>No</v>
      </c>
      <c r="I361" s="748" t="s">
        <v>3652</v>
      </c>
      <c r="J361" s="748" t="str">
        <f>'Part III A-Sources of Funds'!J8</f>
        <v>No</v>
      </c>
      <c r="K361" s="748" t="s">
        <v>874</v>
      </c>
      <c r="M361" s="748" t="str">
        <f>'Part III A-Sources of Funds'!M8</f>
        <v>No</v>
      </c>
      <c r="N361" s="748" t="s">
        <v>3230</v>
      </c>
    </row>
    <row r="362" spans="1:16">
      <c r="B362" s="748" t="s">
        <v>310</v>
      </c>
    </row>
    <row r="364" spans="1:16">
      <c r="A364" s="748" t="s">
        <v>1229</v>
      </c>
      <c r="B364" s="748" t="s">
        <v>3493</v>
      </c>
    </row>
    <row r="366" spans="1:16">
      <c r="B366" s="748" t="s">
        <v>2925</v>
      </c>
      <c r="H366" s="748" t="s">
        <v>1997</v>
      </c>
      <c r="L366" s="748" t="s">
        <v>3066</v>
      </c>
      <c r="N366" s="748" t="s">
        <v>2257</v>
      </c>
      <c r="P366" s="748" t="s">
        <v>2536</v>
      </c>
    </row>
    <row r="367" spans="1:16">
      <c r="B367" s="748" t="s">
        <v>2347</v>
      </c>
      <c r="H367" s="748" t="str">
        <f>'Part III A-Sources of Funds'!H14</f>
        <v>Citi Community Capital</v>
      </c>
      <c r="L367" s="748">
        <f>'Part III A-Sources of Funds'!L14</f>
        <v>5545789</v>
      </c>
      <c r="N367" s="748">
        <f>'Part III A-Sources of Funds'!N14</f>
        <v>0.05</v>
      </c>
      <c r="P367" s="748">
        <f>'Part III A-Sources of Funds'!P14</f>
        <v>24</v>
      </c>
    </row>
    <row r="368" spans="1:16">
      <c r="B368" s="748" t="s">
        <v>2348</v>
      </c>
      <c r="H368" s="748">
        <f>'Part III A-Sources of Funds'!H15</f>
        <v>0</v>
      </c>
      <c r="L368" s="748">
        <f>'Part III A-Sources of Funds'!L15</f>
        <v>0</v>
      </c>
      <c r="N368" s="748">
        <f>'Part III A-Sources of Funds'!N15</f>
        <v>0</v>
      </c>
      <c r="P368" s="748">
        <f>'Part III A-Sources of Funds'!P15</f>
        <v>0</v>
      </c>
    </row>
    <row r="369" spans="1:17">
      <c r="B369" s="748" t="s">
        <v>2349</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t="str">
        <f>'Part III A-Sources of Funds'!H19</f>
        <v>Deferred Developer Fee</v>
      </c>
      <c r="L372" s="748">
        <f>'Part III A-Sources of Funds'!L19</f>
        <v>133061</v>
      </c>
    </row>
    <row r="373" spans="1:17">
      <c r="B373" s="748" t="s">
        <v>1384</v>
      </c>
      <c r="H373" s="748" t="str">
        <f>'Part III A-Sources of Funds'!H20</f>
        <v>RBC Tax Credit Equity, LLC</v>
      </c>
      <c r="L373" s="748">
        <f>'Part III A-Sources of Funds'!L20</f>
        <v>722248</v>
      </c>
    </row>
    <row r="374" spans="1:17">
      <c r="B374" s="748" t="s">
        <v>1385</v>
      </c>
      <c r="H374" s="748" t="str">
        <f>'Part III A-Sources of Funds'!H21</f>
        <v>RBC Tax Credit Equity, LLC</v>
      </c>
      <c r="L374" s="748">
        <f>'Part III A-Sources of Funds'!L21</f>
        <v>220923</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6622021</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6622021</v>
      </c>
    </row>
    <row r="380" spans="1:17">
      <c r="B380" s="748" t="s">
        <v>3259</v>
      </c>
      <c r="L380" s="748">
        <f>L378-L379</f>
        <v>0</v>
      </c>
    </row>
    <row r="382" spans="1:17">
      <c r="A382" s="748" t="s">
        <v>1231</v>
      </c>
      <c r="B382" s="748" t="s">
        <v>1382</v>
      </c>
    </row>
    <row r="383" spans="1:17">
      <c r="J383" s="748" t="s">
        <v>3193</v>
      </c>
      <c r="K383" s="748" t="s">
        <v>1995</v>
      </c>
      <c r="L383" s="748" t="s">
        <v>2000</v>
      </c>
      <c r="M383" s="748" t="s">
        <v>40</v>
      </c>
      <c r="Q383" s="748" t="s">
        <v>3490</v>
      </c>
    </row>
    <row r="384" spans="1:17">
      <c r="B384" s="748" t="s">
        <v>2925</v>
      </c>
      <c r="E384" s="748" t="s">
        <v>1997</v>
      </c>
      <c r="H384" s="748" t="s">
        <v>719</v>
      </c>
      <c r="J384" s="748" t="s">
        <v>2842</v>
      </c>
      <c r="K384" s="748" t="s">
        <v>3330</v>
      </c>
      <c r="L384" s="748" t="s">
        <v>3330</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Citi Community Capital</v>
      </c>
      <c r="H386" s="748">
        <f>'Part III A-Sources of Funds'!H33</f>
        <v>750000</v>
      </c>
      <c r="J386" s="748">
        <f>'Part III A-Sources of Funds'!J33</f>
        <v>7.7499999999999999E-2</v>
      </c>
      <c r="K386" s="748">
        <f>'Part III A-Sources of Funds'!K33</f>
        <v>20</v>
      </c>
      <c r="L386" s="748">
        <f>'Part III A-Sources of Funds'!L33</f>
        <v>30</v>
      </c>
      <c r="M386" s="748">
        <f>'Part III A-Sources of Funds'!M33</f>
        <v>64477.102100313889</v>
      </c>
      <c r="O386" s="748" t="str">
        <f>'Part III A-Sources of Funds'!O33</f>
        <v>Amortizing</v>
      </c>
      <c r="Q386" s="748">
        <f>'Part III A-Sources of Funds'!Q33</f>
        <v>1.1499999999999999</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0.1593201465552336</v>
      </c>
      <c r="E390" s="748" t="str">
        <f>'Part III A-Sources of Funds'!E37</f>
        <v>Deferred Developer Fee Note</v>
      </c>
      <c r="H390" s="748">
        <f>'Part III A-Sources of Funds'!H37</f>
        <v>133061</v>
      </c>
      <c r="J390" s="748">
        <f>'Part III A-Sources of Funds'!J37</f>
        <v>0</v>
      </c>
      <c r="K390" s="748">
        <f>'Part III A-Sources of Funds'!K37</f>
        <v>15</v>
      </c>
      <c r="L390" s="748">
        <f>'Part III A-Sources of Funds'!L37</f>
        <v>15</v>
      </c>
      <c r="M390" s="748" t="str">
        <f>'Part III A-Sources of Funds'!M37</f>
        <v/>
      </c>
      <c r="O390" s="748" t="str">
        <f>'Part III A-Sources of Funds'!O37</f>
        <v>Cash Flow</v>
      </c>
      <c r="Q390" s="748">
        <f>'Part III A-Sources of Funds'!Q37</f>
        <v>0</v>
      </c>
    </row>
    <row r="391" spans="2:19">
      <c r="B391" s="748" t="s">
        <v>3331</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3863</v>
      </c>
    </row>
    <row r="393" spans="2:19">
      <c r="B393" s="748" t="s">
        <v>1384</v>
      </c>
      <c r="E393" s="748" t="str">
        <f>'Part III A-Sources of Funds'!E40</f>
        <v>RBC Tax Credit Equity, LLC</v>
      </c>
      <c r="H393" s="748">
        <f>'Part III A-Sources of Funds'!H40</f>
        <v>4814984</v>
      </c>
      <c r="J393" s="748">
        <f>'Part IV-Uses of Funds'!$J$165*10*'Part IV-Uses of Funds'!$N$158</f>
        <v>4814984.2050000001</v>
      </c>
      <c r="L393" s="748">
        <f>H393-J393</f>
        <v>-0.20500000007450581</v>
      </c>
      <c r="M393" s="748" t="s">
        <v>2537</v>
      </c>
      <c r="S393" s="748">
        <f>H393/H403</f>
        <v>0.67146497270063965</v>
      </c>
    </row>
    <row r="394" spans="2:19">
      <c r="B394" s="748" t="s">
        <v>1385</v>
      </c>
      <c r="E394" s="748" t="str">
        <f>'Part III A-Sources of Funds'!E41</f>
        <v>RBC Tax Credit Equity, LLC</v>
      </c>
      <c r="H394" s="748">
        <f>'Part III A-Sources of Funds'!H41</f>
        <v>1472819</v>
      </c>
      <c r="J394" s="748">
        <f>'Part IV-Uses of Funds'!$J$165*10*'Part IV-Uses of Funds'!$Q$158</f>
        <v>1472818.6980000001</v>
      </c>
      <c r="L394" s="748">
        <f>H394-J394</f>
        <v>0.30199999990873039</v>
      </c>
      <c r="S394" s="748">
        <f>H394/H403</f>
        <v>0.20538933662666034</v>
      </c>
    </row>
    <row r="395" spans="2:19">
      <c r="B395" s="748" t="s">
        <v>2120</v>
      </c>
      <c r="E395" s="748">
        <f>'Part III A-Sources of Funds'!E42</f>
        <v>0</v>
      </c>
      <c r="H395" s="748">
        <f>'Part III A-Sources of Funds'!H42</f>
        <v>0</v>
      </c>
      <c r="M395" s="748" t="s">
        <v>3020</v>
      </c>
      <c r="N395" s="748" t="s">
        <v>3021</v>
      </c>
      <c r="O395" s="748">
        <v>8</v>
      </c>
      <c r="P395" s="748">
        <v>9</v>
      </c>
      <c r="Q395" s="748">
        <v>10</v>
      </c>
      <c r="S395" s="748">
        <f>SUM(S393:S394)</f>
        <v>0.87685430932730002</v>
      </c>
    </row>
    <row r="396" spans="2:19">
      <c r="B396" s="748" t="s">
        <v>824</v>
      </c>
      <c r="E396" s="748">
        <f>'Part III A-Sources of Funds'!E43</f>
        <v>0</v>
      </c>
      <c r="H396" s="748">
        <f>'Part III A-Sources of Funds'!H43</f>
        <v>0</v>
      </c>
      <c r="M396" s="748" t="s">
        <v>3022</v>
      </c>
      <c r="N396" s="748">
        <f>'Part III A-Sources of Funds'!N43</f>
        <v>0</v>
      </c>
      <c r="O396" s="748">
        <f>'Part III A-Sources of Funds'!O43</f>
        <v>0</v>
      </c>
      <c r="P396" s="748">
        <f>'Part III A-Sources of Funds'!P43</f>
        <v>0</v>
      </c>
      <c r="Q396" s="748">
        <f>'Part III A-Sources of Funds'!Q43</f>
        <v>0</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7170864</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3333</v>
      </c>
      <c r="H403" s="748">
        <f>'Part IV-Uses of Funds'!$G$123</f>
        <v>7170864</v>
      </c>
      <c r="M403" s="748">
        <v>26</v>
      </c>
      <c r="N403" s="748">
        <v>27</v>
      </c>
      <c r="O403" s="748">
        <v>28</v>
      </c>
      <c r="P403" s="748">
        <v>29</v>
      </c>
      <c r="Q403" s="748">
        <v>30</v>
      </c>
    </row>
    <row r="404" spans="1:17">
      <c r="B404" s="748" t="s">
        <v>2276</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2822</v>
      </c>
      <c r="B406" s="748" t="s">
        <v>879</v>
      </c>
      <c r="K406" s="748" t="s">
        <v>2822</v>
      </c>
      <c r="L406" s="748" t="s">
        <v>89</v>
      </c>
    </row>
    <row r="408" spans="1:17">
      <c r="A408" s="748" t="str">
        <f>'Part III A-Sources of Funds'!A55</f>
        <v xml:space="preserve">There are no federal sources of financing to be considered.  </v>
      </c>
      <c r="K408" s="748">
        <f>'Part III A-Sources of Funds'!K55</f>
        <v>0</v>
      </c>
    </row>
    <row r="409" spans="1:17">
      <c r="A409" s="748" t="str">
        <f>'Part III A-Sources of Funds'!A56</f>
        <v xml:space="preserve"> </v>
      </c>
      <c r="K409" s="748">
        <f>'Part III A-Sources of Funds'!K56</f>
        <v>0</v>
      </c>
    </row>
    <row r="410" spans="1:17">
      <c r="A410" s="748" t="str">
        <f>'Part III A-Sources of Funds'!A57</f>
        <v xml:space="preserve"> </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2011-030 Water Tower Park Apartments, Gray, Jones County</v>
      </c>
    </row>
    <row r="415" spans="1:17" ht="10.9" customHeight="1"/>
    <row r="416" spans="1:17" ht="14.45" customHeight="1">
      <c r="A416" s="748" t="s">
        <v>278</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745</v>
      </c>
      <c r="C419" s="748">
        <v>0</v>
      </c>
      <c r="D419" s="748" t="s">
        <v>746</v>
      </c>
    </row>
    <row r="420" spans="1:5">
      <c r="B420" s="748" t="s">
        <v>3750</v>
      </c>
      <c r="C420" s="748">
        <f>'Part III B-USDA 538 Loan'!C7</f>
        <v>0</v>
      </c>
      <c r="D420" s="748" t="s">
        <v>2659</v>
      </c>
    </row>
    <row r="421" spans="1:5" ht="13.15" customHeight="1">
      <c r="A421" s="748" t="s">
        <v>3738</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2011-030 Water Tower Park Apartments, Gray, Jones County</v>
      </c>
      <c r="G471" s="748" t="str">
        <f>CONCATENATE('Part I-Project Information'!$O$4," ",'Part I-Project Information'!$F$22,", ",'Part I-Project Information'!$F$24,", ",'Part I-Project Information'!$J$25," County")</f>
        <v>2011-030 Water Tower Park Apartments, Gray, Jones County</v>
      </c>
    </row>
    <row r="472" spans="1:12">
      <c r="A472" s="748" t="s">
        <v>3742</v>
      </c>
      <c r="G472" s="748" t="s">
        <v>3742</v>
      </c>
    </row>
    <row r="473" spans="1:12" ht="6" customHeight="1"/>
    <row r="474" spans="1:12">
      <c r="A474" s="748" t="s">
        <v>3743</v>
      </c>
      <c r="B474" s="748" t="s">
        <v>3744</v>
      </c>
      <c r="C474" s="748" t="s">
        <v>1994</v>
      </c>
      <c r="D474" s="748" t="s">
        <v>3745</v>
      </c>
      <c r="E474" s="748" t="s">
        <v>3746</v>
      </c>
      <c r="F474" s="748" t="s">
        <v>3752</v>
      </c>
      <c r="G474" s="748" t="s">
        <v>3743</v>
      </c>
      <c r="H474" s="748" t="s">
        <v>3744</v>
      </c>
      <c r="I474" s="748" t="s">
        <v>1994</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2011-030 Water Tower Park Apartments, Gray, Jones County</v>
      </c>
    </row>
    <row r="961" spans="1:5" ht="15.6" customHeight="1">
      <c r="A961" s="748" t="s">
        <v>278</v>
      </c>
    </row>
    <row r="963" spans="1:5" ht="13.15" customHeight="1">
      <c r="A963" s="748" t="s">
        <v>3384</v>
      </c>
      <c r="D963" s="748">
        <f>'Part III C-HUD Insured Loan'!D5</f>
        <v>0</v>
      </c>
      <c r="E963" s="748" t="s">
        <v>1552</v>
      </c>
    </row>
    <row r="965" spans="1:5">
      <c r="A965" s="748" t="s">
        <v>3734</v>
      </c>
      <c r="C965" s="748" t="s">
        <v>3735</v>
      </c>
      <c r="D965" s="748">
        <f>'Part III C-HUD Insured Loan'!D7</f>
        <v>0</v>
      </c>
    </row>
    <row r="966" spans="1:5">
      <c r="C966" s="748" t="s">
        <v>3736</v>
      </c>
      <c r="D966" s="748">
        <f>'Part III C-HUD Insured Loan'!D8</f>
        <v>0</v>
      </c>
    </row>
    <row r="967" spans="1:5">
      <c r="C967" s="748" t="s">
        <v>3737</v>
      </c>
      <c r="D967" s="748">
        <f>'Part III C-HUD Insured Loan'!D9</f>
        <v>0</v>
      </c>
    </row>
    <row r="968" spans="1:5">
      <c r="C968" s="748" t="s">
        <v>3750</v>
      </c>
      <c r="D968" s="748">
        <f>D965+D966+D967</f>
        <v>0</v>
      </c>
    </row>
    <row r="970" spans="1:5">
      <c r="A970" s="748" t="s">
        <v>2741</v>
      </c>
      <c r="D970" s="748">
        <f>'Part III C-HUD Insured Loan'!D12</f>
        <v>0</v>
      </c>
      <c r="E970" s="748" t="s">
        <v>3229</v>
      </c>
    </row>
    <row r="972" spans="1:5">
      <c r="A972" s="748" t="s">
        <v>3739</v>
      </c>
      <c r="D972" s="748">
        <f>'Part III C-HUD Insured Loan'!D14</f>
        <v>0</v>
      </c>
      <c r="E972" s="748" t="s">
        <v>3740</v>
      </c>
    </row>
    <row r="974" spans="1:5">
      <c r="A974" s="748" t="s">
        <v>3741</v>
      </c>
      <c r="D974" s="748">
        <f>'Part III C-HUD Insured Loan'!D16</f>
        <v>0</v>
      </c>
      <c r="E974" s="748" t="s">
        <v>3740</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3383</v>
      </c>
      <c r="F984" s="748" t="s">
        <v>3383</v>
      </c>
    </row>
    <row r="985" spans="1:6">
      <c r="A985" s="748" t="s">
        <v>3752</v>
      </c>
      <c r="B985" s="748" t="s">
        <v>1646</v>
      </c>
      <c r="D985" s="748" t="s">
        <v>3752</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2011-030 Water Tower Park Apartments, Gray, Jones County</v>
      </c>
    </row>
    <row r="1009" spans="1:6">
      <c r="A1009" s="748" t="s">
        <v>3742</v>
      </c>
    </row>
    <row r="1010" spans="1:6" ht="5.45" customHeight="1"/>
    <row r="1011" spans="1:6">
      <c r="A1011" s="748" t="s">
        <v>3743</v>
      </c>
      <c r="B1011" s="748" t="s">
        <v>3744</v>
      </c>
      <c r="C1011" s="748" t="s">
        <v>1994</v>
      </c>
      <c r="D1011" s="748" t="s">
        <v>3745</v>
      </c>
      <c r="E1011" s="748" t="s">
        <v>3746</v>
      </c>
      <c r="F1011" s="748" t="s">
        <v>3752</v>
      </c>
    </row>
    <row r="1012" spans="1:6" ht="3.6" customHeight="1"/>
    <row r="1013" spans="1:6">
      <c r="A1013" s="748" t="s">
        <v>3747</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2011-030 Water Tower Park Apartments,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3077</v>
      </c>
      <c r="G1504" s="748">
        <f>'Part IV-Uses of Funds'!G8</f>
        <v>5000</v>
      </c>
      <c r="J1504" s="748">
        <f>'Part IV-Uses of Funds'!J8</f>
        <v>5000</v>
      </c>
      <c r="M1504" s="748">
        <f>'Part IV-Uses of Funds'!M8</f>
        <v>0</v>
      </c>
      <c r="P1504" s="748">
        <f>'Part IV-Uses of Funds'!P8</f>
        <v>0</v>
      </c>
      <c r="S1504" s="748">
        <f>'Part IV-Uses of Funds'!S8</f>
        <v>0</v>
      </c>
    </row>
    <row r="1505" spans="1:21" ht="12.6" customHeight="1">
      <c r="B1505" s="748" t="s">
        <v>671</v>
      </c>
      <c r="G1505" s="748">
        <f>'Part IV-Uses of Funds'!G9</f>
        <v>4500</v>
      </c>
      <c r="J1505" s="748">
        <f>'Part IV-Uses of Funds'!J9</f>
        <v>4500</v>
      </c>
      <c r="M1505" s="748">
        <f>'Part IV-Uses of Funds'!M9</f>
        <v>0</v>
      </c>
      <c r="P1505" s="748">
        <f>'Part IV-Uses of Funds'!P9</f>
        <v>0</v>
      </c>
      <c r="S1505" s="748">
        <f>'Part IV-Uses of Funds'!S9</f>
        <v>0</v>
      </c>
    </row>
    <row r="1506" spans="1:21" ht="12.6" customHeight="1">
      <c r="B1506" s="748" t="s">
        <v>717</v>
      </c>
      <c r="G1506" s="748">
        <f>'Part IV-Uses of Funds'!G10</f>
        <v>4600</v>
      </c>
      <c r="J1506" s="748">
        <f>'Part IV-Uses of Funds'!J10</f>
        <v>4600</v>
      </c>
      <c r="M1506" s="748">
        <f>'Part IV-Uses of Funds'!M10</f>
        <v>0</v>
      </c>
      <c r="P1506" s="748">
        <f>'Part IV-Uses of Funds'!P10</f>
        <v>0</v>
      </c>
      <c r="S1506" s="748">
        <f>'Part IV-Uses of Funds'!S10</f>
        <v>0</v>
      </c>
    </row>
    <row r="1507" spans="1:21" ht="12.6" customHeight="1">
      <c r="B1507" s="748" t="s">
        <v>718</v>
      </c>
      <c r="G1507" s="748">
        <f>'Part IV-Uses of Funds'!G11</f>
        <v>4000</v>
      </c>
      <c r="J1507" s="748">
        <f>'Part IV-Uses of Funds'!J11</f>
        <v>4000</v>
      </c>
      <c r="M1507" s="748">
        <f>'Part IV-Uses of Funds'!M11</f>
        <v>0</v>
      </c>
      <c r="P1507" s="748">
        <f>'Part IV-Uses of Funds'!P11</f>
        <v>0</v>
      </c>
      <c r="S1507" s="748">
        <f>'Part IV-Uses of Funds'!S11</f>
        <v>0</v>
      </c>
    </row>
    <row r="1508" spans="1:21" ht="12.6" customHeight="1">
      <c r="B1508" s="748" t="s">
        <v>3778</v>
      </c>
      <c r="G1508" s="748">
        <f>'Part IV-Uses of Funds'!G12</f>
        <v>7500</v>
      </c>
      <c r="J1508" s="748">
        <f>'Part IV-Uses of Funds'!J12</f>
        <v>7500</v>
      </c>
      <c r="M1508" s="748">
        <f>'Part IV-Uses of Funds'!M12</f>
        <v>0</v>
      </c>
      <c r="P1508" s="748">
        <f>'Part IV-Uses of Funds'!P12</f>
        <v>0</v>
      </c>
      <c r="S1508" s="748">
        <f>'Part IV-Uses of Funds'!S12</f>
        <v>0</v>
      </c>
    </row>
    <row r="1509" spans="1:21" ht="12.6" customHeight="1">
      <c r="B1509" s="748" t="s">
        <v>248</v>
      </c>
      <c r="G1509" s="748">
        <f>'Part IV-Uses of Funds'!G13</f>
        <v>7750</v>
      </c>
      <c r="J1509" s="748">
        <f>'Part IV-Uses of Funds'!J13</f>
        <v>7750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Historic Consultant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Noise/Asbestos Study</v>
      </c>
      <c r="G1511" s="748">
        <f>'Part IV-Uses of Funds'!G15</f>
        <v>2100</v>
      </c>
      <c r="J1511" s="748">
        <f>'Part IV-Uses of Funds'!J15</f>
        <v>2100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Wetland/Endangered Species Study</v>
      </c>
      <c r="G1512" s="748">
        <f>'Part IV-Uses of Funds'!G16</f>
        <v>700</v>
      </c>
      <c r="J1512" s="748">
        <f>'Part IV-Uses of Funds'!J16</f>
        <v>700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36150</v>
      </c>
      <c r="J1513" s="748">
        <f>SUM(J1504:K1512)</f>
        <v>36150</v>
      </c>
      <c r="M1513" s="748">
        <f>SUM(M1504:N1512)</f>
        <v>0</v>
      </c>
      <c r="P1513" s="748">
        <f>SUM(P1504:Q1512)</f>
        <v>0</v>
      </c>
      <c r="S1513" s="748">
        <f>SUM(S1504:T1512)</f>
        <v>0</v>
      </c>
    </row>
    <row r="1514" spans="1:21" ht="13.15" customHeight="1">
      <c r="B1514" s="748" t="s">
        <v>3304</v>
      </c>
      <c r="O1514" s="748" t="str">
        <f>B1514</f>
        <v>ACQUISITION</v>
      </c>
    </row>
    <row r="1515" spans="1:21" ht="12.6" customHeight="1">
      <c r="B1515" s="748" t="s">
        <v>3305</v>
      </c>
      <c r="G1515" s="748">
        <f>'Part IV-Uses of Funds'!G19</f>
        <v>540000</v>
      </c>
      <c r="S1515" s="748">
        <f>'Part IV-Uses of Funds'!S19</f>
        <v>540000</v>
      </c>
    </row>
    <row r="1516" spans="1:21" ht="12.6" customHeight="1">
      <c r="B1516" s="748" t="s">
        <v>1750</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540000</v>
      </c>
      <c r="M1519" s="748">
        <f>SUM(M1517:N1518)</f>
        <v>0</v>
      </c>
      <c r="S1519" s="748">
        <f>SUM(S1515:T1518)</f>
        <v>540000</v>
      </c>
    </row>
    <row r="1520" spans="1:21" ht="13.15" customHeight="1">
      <c r="B1520" s="748" t="s">
        <v>1751</v>
      </c>
      <c r="O1520" s="748" t="str">
        <f>B1520</f>
        <v>LAND IMPROVEMENTS</v>
      </c>
    </row>
    <row r="1521" spans="2:19" ht="12.6" customHeight="1">
      <c r="B1521" s="748" t="s">
        <v>1752</v>
      </c>
      <c r="G1521" s="748">
        <f>'Part IV-Uses of Funds'!G25</f>
        <v>792000</v>
      </c>
      <c r="J1521" s="748">
        <f>'Part IV-Uses of Funds'!J25</f>
        <v>792000</v>
      </c>
      <c r="M1521" s="748">
        <f>'Part IV-Uses of Funds'!M25</f>
        <v>0</v>
      </c>
      <c r="P1521" s="748">
        <f>'Part IV-Uses of Funds'!P25</f>
        <v>0</v>
      </c>
      <c r="S1521" s="748">
        <f>'Part IV-Uses of Funds'!S25</f>
        <v>0</v>
      </c>
    </row>
    <row r="1522" spans="2:19" ht="12.6" customHeight="1">
      <c r="B1522" s="748" t="s">
        <v>1753</v>
      </c>
      <c r="G1522" s="748">
        <f>'Part IV-Uses of Funds'!G26</f>
        <v>0</v>
      </c>
      <c r="J1522" s="748">
        <f>'Part IV-Uses of Funds'!J26</f>
        <v>0</v>
      </c>
      <c r="S1522" s="748">
        <f>'Part IV-Uses of Funds'!S26</f>
        <v>0</v>
      </c>
    </row>
    <row r="1523" spans="2:19" ht="12.6" customHeight="1">
      <c r="F1523" s="748" t="s">
        <v>249</v>
      </c>
      <c r="G1523" s="748">
        <f>SUM(G1521:H1522)</f>
        <v>792000</v>
      </c>
      <c r="J1523" s="748">
        <f>SUM(J1521:K1522)</f>
        <v>792000</v>
      </c>
      <c r="M1523" s="748">
        <f>M1521</f>
        <v>0</v>
      </c>
      <c r="P1523" s="748">
        <f>P1521</f>
        <v>0</v>
      </c>
      <c r="S1523" s="748">
        <f>SUM(S1521:T1522)</f>
        <v>0</v>
      </c>
    </row>
    <row r="1524" spans="2:19" ht="13.15" customHeight="1">
      <c r="B1524" s="748" t="s">
        <v>1754</v>
      </c>
      <c r="O1524" s="748" t="str">
        <f>B1524</f>
        <v>STRUCTURES</v>
      </c>
    </row>
    <row r="1525" spans="2:19" ht="12.6" customHeight="1">
      <c r="B1525" s="748" t="s">
        <v>1755</v>
      </c>
      <c r="G1525" s="748">
        <f>'Part IV-Uses of Funds'!G29</f>
        <v>2880000</v>
      </c>
      <c r="J1525" s="748">
        <f>'Part IV-Uses of Funds'!J29</f>
        <v>2880000</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125000</v>
      </c>
      <c r="J1527" s="748">
        <f>'Part IV-Uses of Funds'!J31</f>
        <v>125000</v>
      </c>
      <c r="M1527" s="748">
        <f>'Part IV-Uses of Funds'!M31</f>
        <v>0</v>
      </c>
      <c r="P1527" s="748">
        <f>'Part IV-Uses of Funds'!P31</f>
        <v>0</v>
      </c>
      <c r="S1527" s="748">
        <f>'Part IV-Uses of Funds'!S31</f>
        <v>0</v>
      </c>
    </row>
    <row r="1528" spans="2:19" ht="12.6" customHeight="1">
      <c r="F1528" s="748" t="s">
        <v>249</v>
      </c>
      <c r="G1528" s="748">
        <f>SUM(G1525:H1527)</f>
        <v>3005000</v>
      </c>
      <c r="J1528" s="748">
        <f>SUM(J1525:K1527)</f>
        <v>3005000</v>
      </c>
      <c r="M1528" s="748">
        <f>SUM(M1525:N1527)</f>
        <v>0</v>
      </c>
      <c r="P1528" s="748">
        <f>SUM(P1525:Q1527)</f>
        <v>0</v>
      </c>
      <c r="S1528" s="748">
        <f>SUM(S1525:T1527)</f>
        <v>0</v>
      </c>
    </row>
    <row r="1529" spans="2:19" ht="13.15"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227820</v>
      </c>
      <c r="J1530" s="748">
        <f>'Part IV-Uses of Funds'!J34</f>
        <v>227820</v>
      </c>
      <c r="M1530" s="748">
        <f>'Part IV-Uses of Funds'!M34</f>
        <v>0</v>
      </c>
      <c r="P1530" s="748">
        <f>'Part IV-Uses of Funds'!P34</f>
        <v>0</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303760</v>
      </c>
      <c r="J1531" s="748">
        <f>'Part IV-Uses of Funds'!J35</f>
        <v>303760</v>
      </c>
      <c r="M1531" s="748">
        <f>'Part IV-Uses of Funds'!M35</f>
        <v>0</v>
      </c>
      <c r="P1531" s="748">
        <f>'Part IV-Uses of Funds'!P35</f>
        <v>0</v>
      </c>
      <c r="S1531" s="748">
        <f>'Part IV-Uses of Funds'!S35</f>
        <v>0</v>
      </c>
    </row>
    <row r="1532" spans="2:19" ht="12.6" customHeight="1">
      <c r="B1532" s="748" t="s">
        <v>3129</v>
      </c>
      <c r="F1532" s="748" t="s">
        <v>249</v>
      </c>
      <c r="G1532" s="748">
        <f>SUM(G1530:H1531)</f>
        <v>531580</v>
      </c>
      <c r="J1532" s="748">
        <f>SUM(J1530:K1531)</f>
        <v>531580</v>
      </c>
      <c r="M1532" s="748">
        <f>SUM(M1530:N1531)</f>
        <v>0</v>
      </c>
      <c r="P1532" s="748">
        <f>SUM(P1530:Q1531)</f>
        <v>0</v>
      </c>
      <c r="S1532" s="748">
        <f>SUM(S1530:T1531)</f>
        <v>0</v>
      </c>
    </row>
    <row r="1533" spans="2:19" ht="6" customHeight="1"/>
    <row r="1534" spans="2:19" ht="12.6" customHeight="1">
      <c r="B1534" s="748" t="s">
        <v>1760</v>
      </c>
      <c r="D1534" s="748">
        <f>B1535/'Part VI-Revenues &amp; Expenses'!$M$63</f>
        <v>90178.75</v>
      </c>
      <c r="F1534" s="748" t="s">
        <v>2110</v>
      </c>
    </row>
    <row r="1535" spans="2:19" ht="12.6" customHeight="1">
      <c r="B1535" s="748">
        <f>G1523+G1528+G1532</f>
        <v>4328580</v>
      </c>
      <c r="D1535" s="748">
        <f>B1535/'Part VI-Revenues &amp; Expenses'!$M$98</f>
        <v>91.070481800967812</v>
      </c>
      <c r="F1535" s="748" t="s">
        <v>1337</v>
      </c>
    </row>
    <row r="1536" spans="2:19" ht="6" customHeight="1"/>
    <row r="1537" spans="1:21" ht="13.15" customHeight="1">
      <c r="B1537" s="748" t="s">
        <v>1758</v>
      </c>
      <c r="O1537" s="748" t="str">
        <f>B1537</f>
        <v>CONSTRUCTION CONTINGENCY</v>
      </c>
    </row>
    <row r="1538" spans="1:21" ht="12.6" customHeight="1">
      <c r="B1538" s="748" t="s">
        <v>3036</v>
      </c>
      <c r="F1538" s="748" t="e">
        <f>G1538/$B$39</f>
        <v>#DIV/0!</v>
      </c>
      <c r="G1538" s="748">
        <f>'Part IV-Uses of Funds'!G42</f>
        <v>216429</v>
      </c>
      <c r="J1538" s="748">
        <f>'Part IV-Uses of Funds'!J42</f>
        <v>216429</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3494</v>
      </c>
      <c r="G1544" s="748">
        <f>'Part IV-Uses of Funds'!G48</f>
        <v>55458</v>
      </c>
      <c r="J1544" s="748">
        <f>'Part IV-Uses of Funds'!J48</f>
        <v>55458</v>
      </c>
      <c r="M1544" s="748">
        <f>'Part IV-Uses of Funds'!M48</f>
        <v>0</v>
      </c>
      <c r="P1544" s="748">
        <f>'Part IV-Uses of Funds'!P48</f>
        <v>0</v>
      </c>
      <c r="S1544" s="748">
        <f>'Part IV-Uses of Funds'!S48</f>
        <v>0</v>
      </c>
    </row>
    <row r="1545" spans="1:21" ht="13.15" customHeight="1">
      <c r="B1545" s="748" t="s">
        <v>3495</v>
      </c>
      <c r="G1545" s="748">
        <f>'Part IV-Uses of Funds'!G49</f>
        <v>240000</v>
      </c>
      <c r="J1545" s="748">
        <f>'Part IV-Uses of Funds'!J49</f>
        <v>240000</v>
      </c>
      <c r="M1545" s="748">
        <f>'Part IV-Uses of Funds'!M49</f>
        <v>0</v>
      </c>
      <c r="P1545" s="748">
        <f>'Part IV-Uses of Funds'!P49</f>
        <v>0</v>
      </c>
      <c r="S1545" s="748">
        <f>'Part IV-Uses of Funds'!S49</f>
        <v>0</v>
      </c>
    </row>
    <row r="1546" spans="1:21" ht="13.15" customHeight="1">
      <c r="B1546" s="748" t="s">
        <v>3496</v>
      </c>
      <c r="G1546" s="748">
        <f>'Part IV-Uses of Funds'!G50</f>
        <v>25000</v>
      </c>
      <c r="J1546" s="748">
        <f>'Part IV-Uses of Funds'!J50</f>
        <v>25000</v>
      </c>
      <c r="M1546" s="748">
        <f>'Part IV-Uses of Funds'!M50</f>
        <v>0</v>
      </c>
      <c r="P1546" s="748">
        <f>'Part IV-Uses of Funds'!P50</f>
        <v>0</v>
      </c>
      <c r="S1546" s="748">
        <f>'Part IV-Uses of Funds'!S50</f>
        <v>0</v>
      </c>
    </row>
    <row r="1547" spans="1:21" ht="13.15" customHeight="1">
      <c r="B1547" s="748" t="s">
        <v>1092</v>
      </c>
      <c r="G1547" s="748">
        <f>'Part IV-Uses of Funds'!G51</f>
        <v>25000</v>
      </c>
      <c r="J1547" s="748">
        <f>'Part IV-Uses of Funds'!J51</f>
        <v>20000</v>
      </c>
      <c r="M1547" s="748">
        <f>'Part IV-Uses of Funds'!M51</f>
        <v>0</v>
      </c>
      <c r="P1547" s="748">
        <f>'Part IV-Uses of Funds'!P51</f>
        <v>0</v>
      </c>
      <c r="S1547" s="748">
        <f>'Part IV-Uses of Funds'!S51</f>
        <v>5000</v>
      </c>
    </row>
    <row r="1548" spans="1:21" ht="13.15" customHeight="1">
      <c r="B1548" s="748" t="s">
        <v>3497</v>
      </c>
      <c r="G1548" s="748">
        <f>'Part IV-Uses of Funds'!G52</f>
        <v>13800</v>
      </c>
      <c r="J1548" s="748">
        <f>'Part IV-Uses of Funds'!J52</f>
        <v>13800</v>
      </c>
      <c r="M1548" s="748">
        <f>'Part IV-Uses of Funds'!M52</f>
        <v>0</v>
      </c>
      <c r="P1548" s="748">
        <f>'Part IV-Uses of Funds'!P52</f>
        <v>0</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43300</v>
      </c>
      <c r="J1550" s="748">
        <f>'Part IV-Uses of Funds'!J54</f>
        <v>43300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Construction Inspections (Lender)</v>
      </c>
      <c r="G1551" s="748">
        <f>'Part IV-Uses of Funds'!G55</f>
        <v>15000</v>
      </c>
      <c r="J1551" s="748">
        <f>'Part IV-Uses of Funds'!J55</f>
        <v>15000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417558</v>
      </c>
      <c r="J1552" s="748">
        <f>SUM(J1544:K1551)</f>
        <v>412558</v>
      </c>
      <c r="M1552" s="748">
        <f>SUM(M1544:N1551)</f>
        <v>0</v>
      </c>
      <c r="P1552" s="748">
        <f>SUM(P1544:Q1551)</f>
        <v>0</v>
      </c>
      <c r="S1552" s="748">
        <f>SUM(S1544:T1551)</f>
        <v>5000</v>
      </c>
    </row>
    <row r="1553" spans="1:21" ht="13.15" customHeight="1">
      <c r="B1553" s="748" t="s">
        <v>704</v>
      </c>
      <c r="O1553" s="748" t="str">
        <f>B1553</f>
        <v>PROFESSIONAL SERVICES</v>
      </c>
    </row>
    <row r="1554" spans="1:21" ht="13.15" customHeight="1">
      <c r="B1554" s="748" t="s">
        <v>705</v>
      </c>
      <c r="G1554" s="748">
        <f>'Part IV-Uses of Funds'!G58</f>
        <v>75000</v>
      </c>
      <c r="J1554" s="748">
        <f>'Part IV-Uses of Funds'!J58</f>
        <v>75000</v>
      </c>
      <c r="M1554" s="748">
        <f>'Part IV-Uses of Funds'!M58</f>
        <v>0</v>
      </c>
      <c r="P1554" s="748">
        <f>'Part IV-Uses of Funds'!P58</f>
        <v>0</v>
      </c>
      <c r="S1554" s="748">
        <f>'Part IV-Uses of Funds'!S58</f>
        <v>0</v>
      </c>
    </row>
    <row r="1555" spans="1:21" ht="13.15" customHeight="1">
      <c r="B1555" s="748" t="s">
        <v>706</v>
      </c>
      <c r="G1555" s="748">
        <f>'Part IV-Uses of Funds'!G59</f>
        <v>5000</v>
      </c>
      <c r="J1555" s="748">
        <f>'Part IV-Uses of Funds'!J59</f>
        <v>5000</v>
      </c>
      <c r="M1555" s="748">
        <f>'Part IV-Uses of Funds'!M59</f>
        <v>0</v>
      </c>
      <c r="P1555" s="748">
        <f>'Part IV-Uses of Funds'!P59</f>
        <v>0</v>
      </c>
      <c r="S1555" s="748">
        <f>'Part IV-Uses of Funds'!S59</f>
        <v>0</v>
      </c>
    </row>
    <row r="1556" spans="1:21" ht="13.15" customHeight="1">
      <c r="B1556" s="748" t="s">
        <v>1761</v>
      </c>
      <c r="G1556" s="748">
        <f>'Part IV-Uses of Funds'!G60</f>
        <v>25000</v>
      </c>
      <c r="J1556" s="748">
        <f>'Part IV-Uses of Funds'!J60</f>
        <v>25000</v>
      </c>
      <c r="M1556" s="748">
        <f>'Part IV-Uses of Funds'!M60</f>
        <v>0</v>
      </c>
      <c r="P1556" s="748">
        <f>'Part IV-Uses of Funds'!P60</f>
        <v>0</v>
      </c>
      <c r="S1556" s="748">
        <f>'Part IV-Uses of Funds'!S60</f>
        <v>0</v>
      </c>
    </row>
    <row r="1557" spans="1:21" ht="13.15" customHeight="1">
      <c r="B1557" s="748" t="s">
        <v>1762</v>
      </c>
      <c r="G1557" s="748">
        <f>'Part IV-Uses of Funds'!G61</f>
        <v>0</v>
      </c>
      <c r="J1557" s="748">
        <f>'Part IV-Uses of Funds'!J61</f>
        <v>0</v>
      </c>
      <c r="M1557" s="748">
        <f>'Part IV-Uses of Funds'!M61</f>
        <v>0</v>
      </c>
      <c r="P1557" s="748">
        <f>'Part IV-Uses of Funds'!P61</f>
        <v>0</v>
      </c>
      <c r="S1557" s="748">
        <f>'Part IV-Uses of Funds'!S61</f>
        <v>0</v>
      </c>
    </row>
    <row r="1558" spans="1:21" ht="13.15" customHeight="1">
      <c r="B1558" s="748" t="s">
        <v>1763</v>
      </c>
      <c r="G1558" s="748">
        <f>'Part IV-Uses of Funds'!G62</f>
        <v>0</v>
      </c>
      <c r="J1558" s="748">
        <f>'Part IV-Uses of Funds'!J62</f>
        <v>0</v>
      </c>
      <c r="M1558" s="748">
        <f>'Part IV-Uses of Funds'!M62</f>
        <v>0</v>
      </c>
      <c r="P1558" s="748">
        <f>'Part IV-Uses of Funds'!P62</f>
        <v>0</v>
      </c>
      <c r="S1558" s="748">
        <f>'Part IV-Uses of Funds'!S62</f>
        <v>0</v>
      </c>
    </row>
    <row r="1559" spans="1:21" ht="13.15" customHeight="1">
      <c r="B1559" s="748" t="s">
        <v>1764</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61200</v>
      </c>
      <c r="J1560" s="748">
        <f>'Part IV-Uses of Funds'!J64</f>
        <v>61200</v>
      </c>
      <c r="M1560" s="748">
        <f>'Part IV-Uses of Funds'!M64</f>
        <v>0</v>
      </c>
      <c r="P1560" s="748">
        <f>'Part IV-Uses of Funds'!P64</f>
        <v>0</v>
      </c>
      <c r="S1560" s="748">
        <f>'Part IV-Uses of Funds'!S64</f>
        <v>0</v>
      </c>
    </row>
    <row r="1561" spans="1:21" ht="13.15" customHeight="1">
      <c r="B1561" s="748" t="s">
        <v>708</v>
      </c>
      <c r="G1561" s="748">
        <f>'Part IV-Uses of Funds'!G65</f>
        <v>20000</v>
      </c>
      <c r="J1561" s="748">
        <f>'Part IV-Uses of Funds'!J65</f>
        <v>20000</v>
      </c>
      <c r="M1561" s="748">
        <f>'Part IV-Uses of Funds'!M65</f>
        <v>0</v>
      </c>
      <c r="P1561" s="748">
        <f>'Part IV-Uses of Funds'!P65</f>
        <v>0</v>
      </c>
      <c r="S1561" s="748">
        <f>'Part IV-Uses of Funds'!S65</f>
        <v>0</v>
      </c>
    </row>
    <row r="1562" spans="1:21" ht="13.15" customHeight="1">
      <c r="B1562" s="748" t="s">
        <v>3139</v>
      </c>
      <c r="G1562" s="748">
        <f>'Part IV-Uses of Funds'!G66</f>
        <v>20000</v>
      </c>
      <c r="J1562" s="748">
        <f>'Part IV-Uses of Funds'!J66</f>
        <v>20000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1230</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206200</v>
      </c>
      <c r="J1564" s="748">
        <f>SUM(J1554:K1563)</f>
        <v>206200</v>
      </c>
      <c r="M1564" s="748">
        <f>SUM(M1554:N1563)</f>
        <v>0</v>
      </c>
      <c r="P1564" s="748">
        <f>SUM(P1554:Q1563)</f>
        <v>0</v>
      </c>
      <c r="S1564" s="748">
        <f>SUM(S1554:T1563)</f>
        <v>0</v>
      </c>
    </row>
    <row r="1565" spans="1:21" ht="13.15" customHeight="1">
      <c r="B1565" s="748" t="s">
        <v>1953</v>
      </c>
      <c r="O1565" s="748" t="str">
        <f>B1565</f>
        <v>LOCAL GOVERNMENT FEES</v>
      </c>
    </row>
    <row r="1566" spans="1:21" ht="13.15" customHeight="1">
      <c r="B1566" s="748" t="s">
        <v>1954</v>
      </c>
      <c r="G1566" s="748">
        <f>'Part IV-Uses of Funds'!G70</f>
        <v>12000</v>
      </c>
      <c r="J1566" s="748">
        <f>'Part IV-Uses of Funds'!J70</f>
        <v>12000</v>
      </c>
      <c r="M1566" s="748">
        <f>'Part IV-Uses of Funds'!M70</f>
        <v>0</v>
      </c>
      <c r="P1566" s="748">
        <f>'Part IV-Uses of Funds'!P70</f>
        <v>0</v>
      </c>
      <c r="S1566" s="748">
        <f>'Part IV-Uses of Funds'!S70</f>
        <v>0</v>
      </c>
    </row>
    <row r="1567" spans="1:21" ht="13.15" customHeight="1">
      <c r="B1567" s="748" t="s">
        <v>1955</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1956</v>
      </c>
      <c r="D1568" s="748" t="s">
        <v>2111</v>
      </c>
      <c r="E1568" s="748" t="str">
        <f>'Part IV-Uses of Funds'!E72</f>
        <v>No</v>
      </c>
      <c r="G1568" s="748">
        <f>'Part IV-Uses of Funds'!G72</f>
        <v>73875</v>
      </c>
      <c r="J1568" s="748">
        <f>'Part IV-Uses of Funds'!J72</f>
        <v>73875</v>
      </c>
      <c r="M1568" s="748">
        <f>'Part IV-Uses of Funds'!M72</f>
        <v>0</v>
      </c>
      <c r="P1568" s="748">
        <f>'Part IV-Uses of Funds'!P72</f>
        <v>0</v>
      </c>
      <c r="S1568" s="748">
        <f>'Part IV-Uses of Funds'!S72</f>
        <v>0</v>
      </c>
    </row>
    <row r="1569" spans="1:21" ht="13.15" customHeight="1">
      <c r="B1569" s="748" t="s">
        <v>1957</v>
      </c>
      <c r="D1569" s="748" t="s">
        <v>2111</v>
      </c>
      <c r="E1569" s="748" t="str">
        <f>'Part IV-Uses of Funds'!E73</f>
        <v>No</v>
      </c>
      <c r="G1569" s="748">
        <f>'Part IV-Uses of Funds'!G73</f>
        <v>123125</v>
      </c>
      <c r="J1569" s="748">
        <f>'Part IV-Uses of Funds'!J73</f>
        <v>123125</v>
      </c>
      <c r="M1569" s="748">
        <f>'Part IV-Uses of Funds'!M73</f>
        <v>0</v>
      </c>
      <c r="P1569" s="748">
        <f>'Part IV-Uses of Funds'!P73</f>
        <v>0</v>
      </c>
      <c r="S1569" s="748">
        <f>'Part IV-Uses of Funds'!S73</f>
        <v>0</v>
      </c>
    </row>
    <row r="1570" spans="1:21" ht="13.15" customHeight="1">
      <c r="F1570" s="748" t="s">
        <v>249</v>
      </c>
      <c r="G1570" s="748">
        <f>SUM(G1566:H1569)</f>
        <v>209000</v>
      </c>
      <c r="J1570" s="748">
        <f>SUM(J1566:K1569)</f>
        <v>209000</v>
      </c>
      <c r="M1570" s="748">
        <f>SUM(M1566:N1569)</f>
        <v>0</v>
      </c>
      <c r="P1570" s="748">
        <f>SUM(P1566:Q1569)</f>
        <v>0</v>
      </c>
      <c r="S1570" s="748">
        <f>SUM(S1566:T1569)</f>
        <v>0</v>
      </c>
    </row>
    <row r="1571" spans="1:21" ht="13.15" customHeight="1">
      <c r="B1571" s="748" t="s">
        <v>1093</v>
      </c>
      <c r="O1571" s="748" t="str">
        <f>B1571</f>
        <v>PERMANENT FINANCING FEES</v>
      </c>
    </row>
    <row r="1572" spans="1:21" ht="13.15" customHeight="1">
      <c r="B1572" s="748" t="s">
        <v>1958</v>
      </c>
      <c r="G1572" s="748">
        <f>'Part IV-Uses of Funds'!G76</f>
        <v>15000</v>
      </c>
      <c r="S1572" s="748">
        <f>'Part IV-Uses of Funds'!S76</f>
        <v>15000</v>
      </c>
    </row>
    <row r="1573" spans="1:21" ht="13.15" customHeight="1">
      <c r="B1573" s="748" t="s">
        <v>1959</v>
      </c>
      <c r="G1573" s="748">
        <f>'Part IV-Uses of Funds'!G77</f>
        <v>10000</v>
      </c>
      <c r="S1573" s="748">
        <f>'Part IV-Uses of Funds'!S77</f>
        <v>10000</v>
      </c>
    </row>
    <row r="1574" spans="1:21" ht="13.15" customHeight="1">
      <c r="B1574" s="748" t="s">
        <v>1960</v>
      </c>
      <c r="G1574" s="748">
        <f>'Part IV-Uses of Funds'!G78</f>
        <v>5000</v>
      </c>
      <c r="J1574" s="748">
        <f>'Part IV-Uses of Funds'!J78</f>
        <v>0</v>
      </c>
      <c r="M1574" s="748">
        <f>'Part IV-Uses of Funds'!M78</f>
        <v>0</v>
      </c>
      <c r="P1574" s="748">
        <f>'Part IV-Uses of Funds'!P78</f>
        <v>0</v>
      </c>
      <c r="S1574" s="748">
        <f>'Part IV-Uses of Funds'!S78</f>
        <v>5000</v>
      </c>
    </row>
    <row r="1575" spans="1:21" ht="13.15" customHeight="1">
      <c r="B1575" s="748" t="s">
        <v>1961</v>
      </c>
      <c r="G1575" s="748">
        <f>'Part IV-Uses of Funds'!G79</f>
        <v>0</v>
      </c>
      <c r="J1575" s="748">
        <f>'Part IV-Uses of Funds'!J79</f>
        <v>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30000</v>
      </c>
      <c r="J1579" s="748">
        <f>SUM(J1574:K1578)</f>
        <v>0</v>
      </c>
      <c r="M1579" s="748">
        <f>SUM(M1574:N1578)</f>
        <v>0</v>
      </c>
      <c r="P1579" s="748">
        <f>SUM(P1574:Q1578)</f>
        <v>0</v>
      </c>
      <c r="S1579" s="748">
        <f>SUM(S1572:T1578)</f>
        <v>30000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4000</v>
      </c>
      <c r="S1586" s="748">
        <f>'Part IV-Uses of Funds'!S90</f>
        <v>4000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39653</v>
      </c>
      <c r="S1588" s="748">
        <f>'Part IV-Uses of Funds'!S92</f>
        <v>39653</v>
      </c>
    </row>
    <row r="1589" spans="1:21" ht="12.6" customHeight="1">
      <c r="B1589" s="748" t="s">
        <v>1244</v>
      </c>
      <c r="E1589" s="748">
        <f>'Part VI-Revenues &amp; Expenses'!$M$63*'DCA Underwriting Assumptions'!$Q$44</f>
        <v>33600</v>
      </c>
      <c r="G1589" s="748">
        <f>'Part IV-Uses of Funds'!G93</f>
        <v>33600</v>
      </c>
      <c r="S1589" s="748">
        <f>'Part IV-Uses of Funds'!S93</f>
        <v>33600</v>
      </c>
    </row>
    <row r="1590" spans="1:21" ht="12.6" customHeight="1">
      <c r="B1590" s="748" t="s">
        <v>715</v>
      </c>
      <c r="G1590" s="748">
        <f>'Part IV-Uses of Funds'!G94</f>
        <v>2700</v>
      </c>
      <c r="S1590" s="748">
        <f>'Part IV-Uses of Funds'!S94</f>
        <v>2700</v>
      </c>
    </row>
    <row r="1591" spans="1:21" ht="12.6" customHeight="1">
      <c r="B1591" s="748" t="s">
        <v>3551</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82953</v>
      </c>
      <c r="S1594" s="748">
        <f>SUM(S1585:T1593)</f>
        <v>82953</v>
      </c>
    </row>
    <row r="1595" spans="1:21" ht="13.15" customHeight="1">
      <c r="B1595" s="748" t="s">
        <v>3438</v>
      </c>
      <c r="O1595" s="748" t="str">
        <f>B1595</f>
        <v>EQUITY COSTS</v>
      </c>
    </row>
    <row r="1596" spans="1:21" ht="12.6" customHeight="1">
      <c r="B1596" s="748" t="s">
        <v>370</v>
      </c>
      <c r="G1596" s="748">
        <f>'Part IV-Uses of Funds'!G100</f>
        <v>35000</v>
      </c>
      <c r="S1596" s="748">
        <f>'Part IV-Uses of Funds'!S100</f>
        <v>35000</v>
      </c>
    </row>
    <row r="1597" spans="1:21" ht="12.6" customHeight="1">
      <c r="B1597" s="748" t="s">
        <v>372</v>
      </c>
      <c r="G1597" s="748">
        <f>'Part IV-Uses of Funds'!G101</f>
        <v>0</v>
      </c>
      <c r="S1597" s="748">
        <f>'Part IV-Uses of Funds'!S101</f>
        <v>0</v>
      </c>
    </row>
    <row r="1598" spans="1:21" ht="12.6" customHeight="1">
      <c r="B1598" s="748" t="s">
        <v>3613</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1230</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35000</v>
      </c>
      <c r="S1600" s="748">
        <f>SUM(S1596:T1599)</f>
        <v>35000</v>
      </c>
    </row>
    <row r="1601" spans="1:21" ht="13.15" customHeight="1">
      <c r="B1601" s="748" t="s">
        <v>373</v>
      </c>
      <c r="O1601" s="748" t="str">
        <f>B1601</f>
        <v>DEVELOPER'S FEE</v>
      </c>
    </row>
    <row r="1602" spans="1:21" ht="12.6" customHeight="1">
      <c r="B1602" s="748" t="s">
        <v>2913</v>
      </c>
      <c r="F1602" s="748" t="e">
        <f>G1602/$G$109</f>
        <v>#DIV/0!</v>
      </c>
      <c r="G1602" s="748">
        <f>'Part IV-Uses of Funds'!G106</f>
        <v>835180</v>
      </c>
      <c r="J1602" s="748">
        <f>'Part IV-Uses of Funds'!J106</f>
        <v>835180</v>
      </c>
      <c r="M1602" s="748">
        <f>'Part IV-Uses of Funds'!M106</f>
        <v>0</v>
      </c>
      <c r="P1602" s="748">
        <f>'Part IV-Uses of Funds'!P106</f>
        <v>0</v>
      </c>
      <c r="S1602" s="748">
        <f>'Part IV-Uses of Funds'!S106</f>
        <v>0</v>
      </c>
    </row>
    <row r="1603" spans="1:21" ht="12.6" customHeight="1">
      <c r="B1603" s="748" t="s">
        <v>2914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2906</v>
      </c>
      <c r="F1604" s="748" t="e">
        <f>G1604/$G$109</f>
        <v>#DIV/0!</v>
      </c>
      <c r="G1604" s="748">
        <f>'Part IV-Uses of Funds'!G108</f>
        <v>0</v>
      </c>
      <c r="J1604" s="748">
        <f>'Part IV-Uses of Funds'!J108</f>
        <v>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835180</v>
      </c>
      <c r="J1605" s="748">
        <f>SUM(J1602:K1604)</f>
        <v>835180</v>
      </c>
      <c r="M1605" s="748">
        <f>SUM(M1602:N1604)</f>
        <v>0</v>
      </c>
      <c r="P1605" s="748">
        <f>SUM(P1602:Q1604)</f>
        <v>0</v>
      </c>
      <c r="S1605" s="748">
        <f>SUM(S1602:T1604)</f>
        <v>0</v>
      </c>
    </row>
    <row r="1606" spans="1:21" ht="13.15" customHeight="1">
      <c r="B1606" s="748" t="s">
        <v>2010</v>
      </c>
      <c r="O1606" s="748" t="str">
        <f>B1606</f>
        <v>START-UP AND RESERVES</v>
      </c>
    </row>
    <row r="1607" spans="1:21" ht="12.6" customHeight="1">
      <c r="B1607" s="748" t="s">
        <v>324</v>
      </c>
      <c r="G1607" s="748">
        <f>'Part IV-Uses of Funds'!G111</f>
        <v>0</v>
      </c>
      <c r="S1607" s="748">
        <f>'Part IV-Uses of Funds'!S111</f>
        <v>0</v>
      </c>
    </row>
    <row r="1608" spans="1:21" ht="12.6" customHeight="1">
      <c r="B1608" s="748" t="s">
        <v>2287</v>
      </c>
      <c r="G1608" s="748">
        <f>'Part IV-Uses of Funds'!G112</f>
        <v>48125</v>
      </c>
      <c r="S1608" s="748">
        <f>'Part IV-Uses of Funds'!S112</f>
        <v>48125</v>
      </c>
    </row>
    <row r="1609" spans="1:21" ht="12.6" customHeight="1">
      <c r="B1609" s="748" t="s">
        <v>1028</v>
      </c>
      <c r="G1609" s="748">
        <f>'Part IV-Uses of Funds'!G113</f>
        <v>135689</v>
      </c>
      <c r="S1609" s="748">
        <f>'Part IV-Uses of Funds'!S113</f>
        <v>135689</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1041.6666666666667</v>
      </c>
      <c r="G1611" s="748">
        <f>'Part IV-Uses of Funds'!G115</f>
        <v>50000</v>
      </c>
      <c r="J1611" s="748">
        <f>'Part IV-Uses of Funds'!J115</f>
        <v>50000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233814</v>
      </c>
      <c r="J1613" s="748">
        <f>SUM(J1611:K1612)</f>
        <v>50000</v>
      </c>
      <c r="M1613" s="748">
        <f>SUM(M1611:N1612)</f>
        <v>0</v>
      </c>
      <c r="P1613" s="748">
        <f>SUM(P1611:Q1612)</f>
        <v>0</v>
      </c>
      <c r="S1613" s="748">
        <f>SUM(S1607:T1612)</f>
        <v>183814</v>
      </c>
    </row>
    <row r="1614" spans="1:21" ht="13.1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v>
      </c>
      <c r="G1619" s="748">
        <f>G1513+G1519+G1523+G1528+G1532+G1538+G1552+G1564+G1570+G1579+G1594+G1600+G1605+G1613+G1617</f>
        <v>7170864</v>
      </c>
      <c r="J1619" s="748">
        <f>J1513+J1519+J1523+J1528+J1532+J1538+J1552+J1564+J1570+J1579+J1594+J1600+J1605+J1613+J1617</f>
        <v>6294097</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876767</v>
      </c>
    </row>
    <row r="1620" spans="1:19" ht="3" customHeight="1"/>
    <row r="1621" spans="1:19" ht="13.9" customHeight="1">
      <c r="B1621" s="748" t="s">
        <v>3894</v>
      </c>
      <c r="D1621" s="748">
        <f>IF(AND($T$155 = "Yes", 'Part IX A-Scoring Criteria'!$O$176 &gt; 0),'DCA Underwriting Assumptions'!$R$13, IF(AND('Part IV-Uses of Funds'!$T$156="Yes", 'Part IX A-Scoring Criteria'!$O$74&gt;0),'DCA Underwriting Assumptions'!$R$12, 'DCA Underwriting Assumptions'!$R$11))</f>
        <v>7951624</v>
      </c>
      <c r="F1621" s="748" t="s">
        <v>1038</v>
      </c>
      <c r="G1621" s="748">
        <f>G1619/'Part VI-Revenues &amp; Expenses'!$M$63</f>
        <v>149393</v>
      </c>
      <c r="J1621" s="748" t="s">
        <v>1039</v>
      </c>
      <c r="M1621" s="748">
        <f>G1619/'Part VI-Revenues &amp; Expenses'!$M$98</f>
        <v>150.87027140753207</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3134</v>
      </c>
    </row>
    <row r="1626" spans="1:19" ht="6" customHeight="1"/>
    <row r="1627" spans="1:19" ht="13.9" customHeight="1">
      <c r="B1627" s="748" t="s">
        <v>185</v>
      </c>
      <c r="J1627" s="748">
        <f>'Part IV-Uses of Funds'!J131</f>
        <v>0</v>
      </c>
      <c r="P1627" s="748">
        <f>'Part IV-Uses of Funds'!P131</f>
        <v>0</v>
      </c>
    </row>
    <row r="1628" spans="1:19" ht="13.9" customHeight="1">
      <c r="B1628" s="748" t="s">
        <v>3254</v>
      </c>
      <c r="J1628" s="748">
        <f>'Part IV-Uses of Funds'!J132</f>
        <v>0</v>
      </c>
      <c r="P1628" s="748">
        <f>'Part IV-Uses of Funds'!P132</f>
        <v>0</v>
      </c>
    </row>
    <row r="1629" spans="1:19" ht="13.9" customHeight="1">
      <c r="B1629" s="748" t="s">
        <v>2916</v>
      </c>
      <c r="J1629" s="748">
        <f>'Part IV-Uses of Funds'!J133</f>
        <v>0</v>
      </c>
      <c r="P1629" s="748">
        <f>'Part IV-Uses of Funds'!P133</f>
        <v>0</v>
      </c>
    </row>
    <row r="1630" spans="1:19" ht="13.9" customHeight="1">
      <c r="B1630" s="748" t="s">
        <v>2917</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2918</v>
      </c>
      <c r="J1633" s="748">
        <f>SUM(J1627:K1632)</f>
        <v>0</v>
      </c>
      <c r="P1633" s="748">
        <f>SUM(P1627:Q1632)</f>
        <v>0</v>
      </c>
    </row>
    <row r="1634" spans="1:19" ht="3" customHeight="1"/>
    <row r="1635" spans="1:19" ht="15" customHeight="1">
      <c r="B1635" s="748" t="s">
        <v>3486</v>
      </c>
    </row>
    <row r="1636" spans="1:19" ht="13.9" customHeight="1">
      <c r="B1636" s="748" t="s">
        <v>2820</v>
      </c>
      <c r="J1636" s="748">
        <f>J1619</f>
        <v>6294097</v>
      </c>
      <c r="M1636" s="748">
        <f>M1619</f>
        <v>0</v>
      </c>
      <c r="P1636" s="748">
        <f>P1619</f>
        <v>0</v>
      </c>
    </row>
    <row r="1637" spans="1:19" ht="13.9" customHeight="1">
      <c r="B1637" s="748" t="s">
        <v>3342</v>
      </c>
      <c r="J1637" s="748">
        <f>J1633</f>
        <v>0</v>
      </c>
      <c r="P1637" s="748">
        <f>P1633</f>
        <v>0</v>
      </c>
    </row>
    <row r="1638" spans="1:19" ht="13.9" customHeight="1">
      <c r="B1638" s="748" t="s">
        <v>3343</v>
      </c>
      <c r="J1638" s="748">
        <f>J1636-J1637</f>
        <v>6294097</v>
      </c>
      <c r="M1638" s="748">
        <f>M1636</f>
        <v>0</v>
      </c>
      <c r="P1638" s="748">
        <f>P1636-P1637</f>
        <v>0</v>
      </c>
    </row>
    <row r="1639" spans="1:19" ht="13.9" customHeight="1">
      <c r="B1639" s="748" t="s">
        <v>2228</v>
      </c>
      <c r="G1639" s="748" t="s">
        <v>2734</v>
      </c>
      <c r="H1639" s="748" t="str">
        <f>'Part IV-Uses of Funds'!H143</f>
        <v>&lt;&lt;Select&gt;&gt;</v>
      </c>
      <c r="J1639" s="748">
        <f>'Part IV-Uses of Funds'!J143</f>
        <v>1</v>
      </c>
      <c r="P1639" s="748">
        <f>'Part IV-Uses of Funds'!P143</f>
        <v>0</v>
      </c>
    </row>
    <row r="1640" spans="1:19" ht="13.9" customHeight="1">
      <c r="B1640" s="748" t="s">
        <v>3148</v>
      </c>
      <c r="J1640" s="748">
        <f>J1638*J1639</f>
        <v>6294097</v>
      </c>
      <c r="M1640" s="748">
        <f>+M1638</f>
        <v>0</v>
      </c>
      <c r="P1640" s="748">
        <f>P1638*P1639</f>
        <v>0</v>
      </c>
    </row>
    <row r="1641" spans="1:19" ht="13.9"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3135</v>
      </c>
      <c r="J1642" s="748">
        <f>J1640*J1641</f>
        <v>6294097</v>
      </c>
      <c r="M1642" s="748">
        <f>M1640*M1641</f>
        <v>0</v>
      </c>
      <c r="P1642" s="748">
        <f>P1640*P1641</f>
        <v>0</v>
      </c>
    </row>
    <row r="1643" spans="1:19" ht="13.9" customHeight="1">
      <c r="B1643" s="748" t="s">
        <v>3136</v>
      </c>
      <c r="J1643" s="748">
        <f>'Part IV-Uses of Funds'!J147</f>
        <v>0.09</v>
      </c>
      <c r="M1643" s="748">
        <f>'Part IV-Uses of Funds'!M147</f>
        <v>0</v>
      </c>
      <c r="P1643" s="748">
        <f>'Part IV-Uses of Funds'!P147</f>
        <v>0</v>
      </c>
    </row>
    <row r="1644" spans="1:19" ht="13.9" customHeight="1">
      <c r="B1644" s="748" t="s">
        <v>3839</v>
      </c>
      <c r="J1644" s="748">
        <f>J1642*J1643</f>
        <v>566468.73</v>
      </c>
      <c r="M1644" s="748">
        <f>M1642*M1643</f>
        <v>0</v>
      </c>
      <c r="P1644" s="748">
        <f>P1642*P1643</f>
        <v>0</v>
      </c>
    </row>
    <row r="1645" spans="1:19" ht="13.9" customHeight="1">
      <c r="B1645" s="748" t="s">
        <v>2143</v>
      </c>
      <c r="J1645" s="748">
        <f>J1644+M1644+P1644</f>
        <v>566468.73</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7170864</v>
      </c>
      <c r="M1648" s="748" t="s">
        <v>3643</v>
      </c>
    </row>
    <row r="1649" spans="1:20" ht="13.9" customHeight="1">
      <c r="B1649" s="748" t="s">
        <v>3602</v>
      </c>
      <c r="J1649" s="748">
        <f>'Part IV-Uses of Funds'!J153</f>
        <v>7170864</v>
      </c>
    </row>
    <row r="1650" spans="1:20" ht="13.9" customHeight="1">
      <c r="B1650" s="748" t="s">
        <v>341</v>
      </c>
      <c r="J1650" s="749">
        <f>'Part III A-Sources of Funds'!$H$49-'Part III A-Sources of Funds'!$H$37-'Part III A-Sources of Funds'!$H$40-'Part III A-Sources of Funds'!$H$41</f>
        <v>750000</v>
      </c>
      <c r="T1650" s="748" t="s">
        <v>344</v>
      </c>
    </row>
    <row r="1651" spans="1:20" ht="13.9" customHeight="1">
      <c r="B1651" s="748" t="s">
        <v>3355</v>
      </c>
      <c r="J1651" s="748">
        <f>+J1649-J1650</f>
        <v>6420864</v>
      </c>
      <c r="M1651" s="748" t="s">
        <v>342</v>
      </c>
      <c r="O1651" s="748" t="s">
        <v>2652</v>
      </c>
      <c r="S1651" s="748" t="s">
        <v>2651</v>
      </c>
      <c r="T1651" s="748" t="str">
        <f>'Part IV-Uses of Funds'!T155</f>
        <v>No</v>
      </c>
    </row>
    <row r="1652" spans="1:20" ht="13.9" customHeight="1">
      <c r="B1652" s="748" t="s">
        <v>1986</v>
      </c>
      <c r="J1652" s="748" t="str">
        <f>"/ 10"</f>
        <v>/ 10</v>
      </c>
      <c r="M1652" s="748">
        <f>'Part IV-Uses of Funds'!M156</f>
        <v>0</v>
      </c>
      <c r="O1652" s="748">
        <f>'Part IV-Uses of Funds'!O156</f>
        <v>0</v>
      </c>
      <c r="S1652" s="748" t="s">
        <v>343</v>
      </c>
      <c r="T1652" s="748" t="str">
        <f>'Part IV-Uses of Funds'!T156</f>
        <v>No</v>
      </c>
    </row>
    <row r="1653" spans="1:20" ht="13.9" customHeight="1">
      <c r="B1653" s="748" t="s">
        <v>1987</v>
      </c>
      <c r="J1653" s="748">
        <f>J1651/10</f>
        <v>642086.40000000002</v>
      </c>
      <c r="N1653" s="748" t="s">
        <v>1988</v>
      </c>
      <c r="Q1653" s="748" t="s">
        <v>2829</v>
      </c>
    </row>
    <row r="1654" spans="1:20" ht="13.9" customHeight="1">
      <c r="B1654" s="748" t="s">
        <v>4050</v>
      </c>
      <c r="J1654" s="748">
        <f>N1654+Q1654</f>
        <v>1.1099999999999999</v>
      </c>
      <c r="M1654" s="748" t="s">
        <v>1989</v>
      </c>
      <c r="N1654" s="748">
        <f>'Part IV-Uses of Funds'!N158</f>
        <v>0.85</v>
      </c>
      <c r="P1654" s="748" t="s">
        <v>945</v>
      </c>
      <c r="Q1654" s="748">
        <f>'Part IV-Uses of Funds'!Q158</f>
        <v>0.26</v>
      </c>
    </row>
    <row r="1655" spans="1:20" ht="13.9" customHeight="1">
      <c r="B1655" s="748" t="s">
        <v>2144</v>
      </c>
      <c r="J1655" s="748">
        <f>IF(J1654=0,"",J1653/J1654)</f>
        <v>578456.21621621633</v>
      </c>
    </row>
    <row r="1656" spans="1:20" ht="9" customHeight="1"/>
    <row r="1657" spans="1:20" ht="16.149999999999999" customHeight="1">
      <c r="B1657" s="748" t="s">
        <v>3603</v>
      </c>
      <c r="J1657" s="748">
        <f>+MIN(J1645,J1655,'DCA Underwriting Assumptions'!$R$6)</f>
        <v>566468.73</v>
      </c>
    </row>
    <row r="1658" spans="1:20" ht="9.6" customHeight="1"/>
    <row r="1659" spans="1:20" ht="16.149999999999999" customHeight="1">
      <c r="B1659" s="748" t="s">
        <v>3604</v>
      </c>
      <c r="J1659" s="748">
        <f>'Part IV-Uses of Funds'!J163</f>
        <v>566468.73</v>
      </c>
      <c r="M1659" s="748" t="str">
        <f>IF(J1659&gt;J1657,"ALLOCATION CANNOT EXCEED MAXIMUM - REVISE ALLOCATION!","")</f>
        <v/>
      </c>
    </row>
    <row r="1660" spans="1:20" ht="9.6" customHeight="1"/>
    <row r="1661" spans="1:20" ht="16.149999999999999" customHeight="1">
      <c r="A1661" s="748" t="s">
        <v>2822</v>
      </c>
      <c r="B1661" s="748" t="s">
        <v>3605</v>
      </c>
      <c r="J1661" s="748">
        <f>+MIN(J1657,J1659)</f>
        <v>566468.73</v>
      </c>
    </row>
    <row r="1662" spans="1:20" ht="3" customHeight="1"/>
    <row r="1663" spans="1:20" ht="6" customHeight="1"/>
    <row r="1664" spans="1:20" ht="12" customHeight="1">
      <c r="A1664" s="748" t="s">
        <v>2824</v>
      </c>
      <c r="B1664" s="748" t="s">
        <v>879</v>
      </c>
      <c r="K1664" s="748" t="s">
        <v>822</v>
      </c>
      <c r="L1664" s="748" t="s">
        <v>89</v>
      </c>
    </row>
    <row r="1665" spans="1:12" ht="107.45" customHeight="1">
      <c r="A1665" s="748" t="str">
        <f>'Part IV-Uses of Funds'!A169</f>
        <v>The development team has experience in similar construction in other areas of the southeast and Midwest.  Estimates were based on common estimating techniques and applied to this specific structure based on similar final building and preliminary site plans.  In fact, the construction hard costs were derived from a takeoff of a similar project design being developed and nearing construction commencement in Gallatin, Sumner County, Tennessee.  This is not only a similar product to the proposed development, but it is similar in scope as well as it contains 48 units.  Additionally, the project architect, Miller Player &amp; Associates, for the comparable development is identical to that of the proposed Water Tower Park Apartments.</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2011-030 Water Tower Park Apartments, ,  County</v>
      </c>
    </row>
    <row r="1675" spans="1:12">
      <c r="F1675" s="748" t="s">
        <v>806</v>
      </c>
      <c r="I1675" s="748" t="str">
        <f>VLOOKUP('Part I-Project Information'!$J$25,'Part I-Project Information'!$C$183:$D$342,2)</f>
        <v>Middle</v>
      </c>
    </row>
    <row r="1677" spans="1:12">
      <c r="A1677" s="748" t="s">
        <v>950</v>
      </c>
      <c r="B1677" s="748" t="s">
        <v>3350</v>
      </c>
      <c r="F1677" s="748" t="s">
        <v>3804</v>
      </c>
      <c r="I1677" s="748" t="str">
        <f>'Part V-Utility Allowances'!I5</f>
        <v>DCA OAH Utility Allowance Schedule</v>
      </c>
    </row>
    <row r="1678" spans="1:12">
      <c r="F1678" s="748" t="s">
        <v>972</v>
      </c>
      <c r="I1678" s="748">
        <f>'Part V-Utility Allowances'!I6</f>
        <v>40695</v>
      </c>
      <c r="K1678" s="748" t="s">
        <v>833</v>
      </c>
      <c r="L1678" s="748" t="str">
        <f>'Part V-Utility Allowances'!L6</f>
        <v>MF</v>
      </c>
    </row>
    <row r="1680" spans="1:12">
      <c r="F1680" s="748" t="s">
        <v>942</v>
      </c>
      <c r="I1680" s="748" t="s">
        <v>258</v>
      </c>
    </row>
    <row r="1681" spans="1:13">
      <c r="B1681" s="748" t="s">
        <v>1380</v>
      </c>
      <c r="D1681" s="748" t="s">
        <v>2361</v>
      </c>
      <c r="F1681" s="748" t="s">
        <v>978</v>
      </c>
      <c r="G1681" s="748" t="s">
        <v>2902</v>
      </c>
      <c r="I1681" s="748">
        <v>0</v>
      </c>
      <c r="J1681" s="748">
        <v>1</v>
      </c>
      <c r="K1681" s="748">
        <v>2</v>
      </c>
      <c r="L1681" s="748">
        <v>3</v>
      </c>
      <c r="M1681" s="748">
        <v>4</v>
      </c>
    </row>
    <row r="1682" spans="1:13">
      <c r="B1682" s="748" t="s">
        <v>2904</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13</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49</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14</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44</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41</v>
      </c>
      <c r="M1686" s="748">
        <f>'Part V-Utility Allowances'!M14</f>
        <v>0</v>
      </c>
    </row>
    <row r="1687" spans="1:13">
      <c r="B1687" s="748" t="s">
        <v>2072</v>
      </c>
      <c r="D1687" s="748" t="s">
        <v>3349</v>
      </c>
      <c r="E1687" s="748" t="str">
        <f>'Part V-Utility Allowances'!E15</f>
        <v>Yes</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2903</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0</v>
      </c>
      <c r="J1689" s="748">
        <f>SUM(J1682:J1688)</f>
        <v>102</v>
      </c>
      <c r="K1689" s="748">
        <f>SUM(K1682:K1688)</f>
        <v>131</v>
      </c>
      <c r="L1689" s="748">
        <f>SUM(L1682:L1688)</f>
        <v>161</v>
      </c>
      <c r="M1689" s="748">
        <f>SUM(M1682:M1688)</f>
        <v>0</v>
      </c>
    </row>
    <row r="1691" spans="1:13">
      <c r="A1691" s="748" t="s">
        <v>1229</v>
      </c>
      <c r="B1691" s="748" t="s">
        <v>3351</v>
      </c>
      <c r="F1691" s="748" t="s">
        <v>3804</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2902</v>
      </c>
      <c r="I1695" s="748">
        <v>0</v>
      </c>
      <c r="J1695" s="748">
        <v>1</v>
      </c>
      <c r="K1695" s="748">
        <v>2</v>
      </c>
      <c r="L1695" s="748">
        <v>3</v>
      </c>
      <c r="M1695" s="748">
        <v>4</v>
      </c>
    </row>
    <row r="1696" spans="1:13">
      <c r="B1696" s="748" t="s">
        <v>2904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3349</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2839</v>
      </c>
    </row>
    <row r="1707" spans="2:13">
      <c r="B1707" s="748" t="s">
        <v>879</v>
      </c>
    </row>
    <row r="1708" spans="2:13">
      <c r="B1708" s="748">
        <f>'Part V-Utility Allowances'!B36</f>
        <v>0</v>
      </c>
    </row>
    <row r="1709" spans="2:13">
      <c r="B1709" s="748">
        <f>'Part V-Utility Allowances'!B37</f>
        <v>0</v>
      </c>
    </row>
    <row r="1711" spans="2:13">
      <c r="B1711" s="748" t="s">
        <v>2896</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2011-030 Water Tower Park Apartments, ,  County</v>
      </c>
    </row>
    <row r="1717" spans="1:219" ht="12" customHeight="1"/>
    <row r="1718" spans="1:219" ht="12.6" customHeight="1">
      <c r="A1718" s="748" t="s">
        <v>950</v>
      </c>
      <c r="B1718" s="748" t="s">
        <v>3570</v>
      </c>
      <c r="D1718" s="748" t="s">
        <v>328</v>
      </c>
      <c r="N1718" s="748" t="s">
        <v>886</v>
      </c>
      <c r="O1718" s="748" t="str">
        <f>'Part I-Project Information'!$J$26</f>
        <v>Macon</v>
      </c>
      <c r="EY1718" s="748" t="s">
        <v>716</v>
      </c>
      <c r="EZ1718" s="748" t="s">
        <v>3685</v>
      </c>
      <c r="FA1718" s="748" t="s">
        <v>3686</v>
      </c>
      <c r="FB1718" s="748" t="s">
        <v>3687</v>
      </c>
      <c r="FC1718" s="748" t="s">
        <v>3688</v>
      </c>
      <c r="FI1718" s="748" t="s">
        <v>716</v>
      </c>
      <c r="FJ1718" s="748" t="s">
        <v>3685</v>
      </c>
      <c r="FK1718" s="748" t="s">
        <v>3686</v>
      </c>
      <c r="FL1718" s="748" t="s">
        <v>3687</v>
      </c>
      <c r="FM1718" s="748" t="s">
        <v>3688</v>
      </c>
      <c r="FN1718" s="748" t="s">
        <v>716</v>
      </c>
      <c r="FO1718" s="748" t="s">
        <v>3685</v>
      </c>
      <c r="FP1718" s="748" t="s">
        <v>3686</v>
      </c>
      <c r="FQ1718" s="748" t="s">
        <v>3687</v>
      </c>
      <c r="FR1718" s="748" t="s">
        <v>3688</v>
      </c>
      <c r="FS1718" s="748" t="s">
        <v>716</v>
      </c>
      <c r="FT1718" s="748" t="s">
        <v>3685</v>
      </c>
      <c r="FU1718" s="748" t="s">
        <v>3686</v>
      </c>
      <c r="FV1718" s="748" t="s">
        <v>3687</v>
      </c>
      <c r="FW1718" s="748" t="s">
        <v>3688</v>
      </c>
      <c r="FX1718" s="748" t="s">
        <v>716</v>
      </c>
      <c r="FY1718" s="748" t="s">
        <v>3685</v>
      </c>
      <c r="FZ1718" s="748" t="s">
        <v>3686</v>
      </c>
      <c r="GA1718" s="748" t="s">
        <v>3687</v>
      </c>
      <c r="GB1718" s="748" t="s">
        <v>3688</v>
      </c>
      <c r="GC1718" s="748" t="s">
        <v>716</v>
      </c>
      <c r="GD1718" s="748" t="s">
        <v>3685</v>
      </c>
      <c r="GE1718" s="748" t="s">
        <v>3686</v>
      </c>
      <c r="GF1718" s="748" t="s">
        <v>3687</v>
      </c>
      <c r="GG1718" s="748" t="s">
        <v>3688</v>
      </c>
      <c r="GH1718" s="748" t="s">
        <v>716</v>
      </c>
      <c r="GI1718" s="748" t="s">
        <v>3685</v>
      </c>
      <c r="GJ1718" s="748" t="s">
        <v>3686</v>
      </c>
      <c r="GK1718" s="748" t="s">
        <v>3687</v>
      </c>
      <c r="GL1718" s="748" t="s">
        <v>3688</v>
      </c>
    </row>
    <row r="1719" spans="1:219" ht="12.6" customHeight="1">
      <c r="T1719" s="748" t="s">
        <v>1513</v>
      </c>
      <c r="U1719" s="748" t="s">
        <v>1247</v>
      </c>
      <c r="V1719" s="748" t="s">
        <v>1248</v>
      </c>
      <c r="W1719" s="748" t="s">
        <v>1249</v>
      </c>
      <c r="X1719" s="748" t="s">
        <v>1250</v>
      </c>
      <c r="Y1719" s="748" t="s">
        <v>1514</v>
      </c>
      <c r="Z1719" s="748" t="s">
        <v>3451</v>
      </c>
      <c r="AA1719" s="748" t="s">
        <v>3452</v>
      </c>
      <c r="AB1719" s="748" t="s">
        <v>3453</v>
      </c>
      <c r="AC1719" s="748" t="s">
        <v>3454</v>
      </c>
      <c r="AD1719" s="748" t="s">
        <v>1515</v>
      </c>
      <c r="AE1719" s="748" t="s">
        <v>3455</v>
      </c>
      <c r="AF1719" s="748" t="s">
        <v>3456</v>
      </c>
      <c r="AG1719" s="748" t="s">
        <v>3457</v>
      </c>
      <c r="AH1719" s="748" t="s">
        <v>3458</v>
      </c>
      <c r="AI1719" s="748" t="s">
        <v>152</v>
      </c>
      <c r="AJ1719" s="748" t="s">
        <v>3459</v>
      </c>
      <c r="AK1719" s="748" t="s">
        <v>3460</v>
      </c>
      <c r="AL1719" s="748" t="s">
        <v>3461</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3675</v>
      </c>
      <c r="BS1719" s="748" t="s">
        <v>3676</v>
      </c>
      <c r="BT1719" s="748" t="s">
        <v>3677</v>
      </c>
      <c r="BU1719" s="748" t="s">
        <v>3678</v>
      </c>
      <c r="BV1719" s="748" t="s">
        <v>3679</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3674</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2847</v>
      </c>
      <c r="DT1719" s="748" t="s">
        <v>2848</v>
      </c>
      <c r="DU1719" s="748" t="s">
        <v>2849</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3320</v>
      </c>
      <c r="EK1719" s="748" t="s">
        <v>3321</v>
      </c>
      <c r="EL1719" s="748" t="s">
        <v>3322</v>
      </c>
      <c r="EM1719" s="748" t="s">
        <v>2213</v>
      </c>
      <c r="EN1719" s="748" t="s">
        <v>2214</v>
      </c>
      <c r="EO1719" s="748" t="s">
        <v>29</v>
      </c>
      <c r="EP1719" s="748" t="s">
        <v>30</v>
      </c>
      <c r="EQ1719" s="748" t="s">
        <v>31</v>
      </c>
      <c r="ER1719" s="748" t="s">
        <v>32</v>
      </c>
      <c r="ES1719" s="748" t="s">
        <v>33</v>
      </c>
      <c r="GM1719" s="748" t="s">
        <v>2528</v>
      </c>
      <c r="GN1719" s="748" t="s">
        <v>3810</v>
      </c>
      <c r="GO1719" s="748" t="s">
        <v>3811</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2897</v>
      </c>
      <c r="G1720" s="748">
        <f>'Part VI-Revenues &amp; Expenses'!G5</f>
        <v>0</v>
      </c>
      <c r="P1720" s="748" t="s">
        <v>1658</v>
      </c>
    </row>
    <row r="1721" spans="1:219" ht="13.15" customHeight="1">
      <c r="B1721" s="748" t="s">
        <v>2838</v>
      </c>
      <c r="G1721" s="748">
        <f>'Part VI-Revenues &amp; Expenses'!G6</f>
        <v>0</v>
      </c>
      <c r="J1721" s="748" t="s">
        <v>3644</v>
      </c>
      <c r="P1721" s="748">
        <f>VLOOKUP('Part I-Project Information'!$J$26,'DCA Underwriting Assumptions'!$C$77:$D$187,2)</f>
        <v>52400</v>
      </c>
    </row>
    <row r="1722" spans="1:219" ht="13.9" customHeight="1">
      <c r="A1722" s="748" t="str">
        <f>IF(A1763&gt;0,"Finish!","")</f>
        <v/>
      </c>
      <c r="J1722" s="748" t="s">
        <v>3645</v>
      </c>
    </row>
    <row r="1723" spans="1:219" ht="13.9" customHeight="1">
      <c r="B1723" s="748" t="s">
        <v>2212</v>
      </c>
      <c r="C1723" s="748" t="s">
        <v>228</v>
      </c>
      <c r="D1723" s="748" t="s">
        <v>839</v>
      </c>
      <c r="E1723" s="748" t="s">
        <v>2210</v>
      </c>
      <c r="F1723" s="748" t="s">
        <v>2210</v>
      </c>
      <c r="G1723" s="748" t="s">
        <v>3616</v>
      </c>
      <c r="H1723" s="748" t="s">
        <v>3614</v>
      </c>
      <c r="I1723" s="748" t="s">
        <v>1380</v>
      </c>
      <c r="J1723" s="748" t="s">
        <v>4051</v>
      </c>
      <c r="K1723" s="748" t="s">
        <v>186</v>
      </c>
      <c r="M1723" s="748" t="s">
        <v>3571</v>
      </c>
      <c r="N1723" s="748" t="s">
        <v>825</v>
      </c>
      <c r="O1723" s="748" t="s">
        <v>487</v>
      </c>
      <c r="P1723" s="748" t="s">
        <v>1665</v>
      </c>
      <c r="ET1723" s="748" t="s">
        <v>2187</v>
      </c>
      <c r="EU1723" s="748" t="s">
        <v>3685</v>
      </c>
      <c r="EV1723" s="748" t="s">
        <v>3686</v>
      </c>
      <c r="EW1723" s="748" t="s">
        <v>3687</v>
      </c>
      <c r="EX1723" s="748" t="s">
        <v>3688</v>
      </c>
      <c r="EY1723" s="748" t="s">
        <v>3775</v>
      </c>
      <c r="EZ1723" s="748" t="s">
        <v>3775</v>
      </c>
      <c r="FA1723" s="748" t="s">
        <v>3775</v>
      </c>
      <c r="FB1723" s="748" t="s">
        <v>3775</v>
      </c>
      <c r="FC1723" s="748" t="s">
        <v>3775</v>
      </c>
      <c r="FD1723" s="748" t="s">
        <v>716</v>
      </c>
      <c r="FE1723" s="748" t="s">
        <v>3685</v>
      </c>
      <c r="FF1723" s="748" t="s">
        <v>3686</v>
      </c>
      <c r="FG1723" s="748" t="s">
        <v>3687</v>
      </c>
      <c r="FH1723" s="748" t="s">
        <v>3688</v>
      </c>
      <c r="FI1723" s="748" t="s">
        <v>3777</v>
      </c>
      <c r="FJ1723" s="748" t="s">
        <v>3777</v>
      </c>
      <c r="FK1723" s="748" t="s">
        <v>3777</v>
      </c>
      <c r="FL1723" s="748" t="s">
        <v>3777</v>
      </c>
      <c r="FM1723" s="748" t="s">
        <v>3777</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3615</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3774</v>
      </c>
      <c r="EV1724" s="748" t="s">
        <v>3774</v>
      </c>
      <c r="EW1724" s="748" t="s">
        <v>3774</v>
      </c>
      <c r="EX1724" s="748" t="s">
        <v>3774</v>
      </c>
      <c r="FD1724" s="748" t="s">
        <v>3776</v>
      </c>
      <c r="FE1724" s="748" t="s">
        <v>3776</v>
      </c>
      <c r="FF1724" s="748" t="s">
        <v>3776</v>
      </c>
      <c r="FG1724" s="748" t="s">
        <v>3776</v>
      </c>
      <c r="FH1724" s="748" t="s">
        <v>3776</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1</v>
      </c>
      <c r="F1725" s="748">
        <f>'Part VI-Revenues &amp; Expenses'!F10</f>
        <v>750</v>
      </c>
      <c r="G1725" s="748">
        <f>'Part VI-Revenues &amp; Expenses'!G10</f>
        <v>506</v>
      </c>
      <c r="H1725" s="748">
        <f>'Part VI-Revenues &amp; Expenses'!H10</f>
        <v>506</v>
      </c>
      <c r="I1725" s="748">
        <f>'Part VI-Revenues &amp; Expenses'!I10</f>
        <v>102</v>
      </c>
      <c r="J1725" s="748">
        <f>'Part VI-Revenues &amp; Expenses'!J10</f>
        <v>0</v>
      </c>
      <c r="K1725" s="748">
        <f>MAX(0,H1725-I1725)</f>
        <v>404</v>
      </c>
      <c r="L1725" s="748">
        <f t="shared" ref="L1725:L1762" si="99">MAX(0,E1725*K1725)</f>
        <v>404</v>
      </c>
      <c r="M1725" s="748" t="str">
        <f>'Part VI-Revenues &amp; Expenses'!M10</f>
        <v>No</v>
      </c>
      <c r="N1725" s="748" t="str">
        <f>'Part VI-Revenues &amp; Expenses'!N10</f>
        <v>3+ Story</v>
      </c>
      <c r="O1725" s="748" t="str">
        <f>'Part VI-Revenues &amp; Expenses'!O10</f>
        <v>New Construction</v>
      </c>
      <c r="P1725" s="748">
        <f>'Part VI-Revenues &amp; Expenses'!P10</f>
        <v>20240</v>
      </c>
      <c r="Q1725" s="748">
        <f>'Part VI-Revenues &amp; Expenses'!Q10</f>
        <v>0.51501272264631048</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1</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750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1</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1</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1</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4</v>
      </c>
      <c r="F1726" s="748">
        <f>'Part VI-Revenues &amp; Expenses'!F11</f>
        <v>975</v>
      </c>
      <c r="G1726" s="748">
        <f>'Part VI-Revenues &amp; Expenses'!G11</f>
        <v>607</v>
      </c>
      <c r="H1726" s="748">
        <f>'Part VI-Revenues &amp; Expenses'!H11</f>
        <v>607</v>
      </c>
      <c r="I1726" s="748">
        <f>'Part VI-Revenues &amp; Expenses'!I11</f>
        <v>131</v>
      </c>
      <c r="J1726" s="748">
        <f>'Part VI-Revenues &amp; Expenses'!J11</f>
        <v>0</v>
      </c>
      <c r="K1726" s="748">
        <f t="shared" ref="K1726:K1742" si="271">MAX(0,H1726-I1726)</f>
        <v>476</v>
      </c>
      <c r="L1726" s="748">
        <f t="shared" si="99"/>
        <v>1904</v>
      </c>
      <c r="M1726" s="748" t="str">
        <f>'Part VI-Revenues &amp; Expenses'!M11</f>
        <v>No</v>
      </c>
      <c r="N1726" s="748" t="str">
        <f>'Part VI-Revenues &amp; Expenses'!N11</f>
        <v>3+ Story</v>
      </c>
      <c r="O1726" s="748" t="str">
        <f>'Part VI-Revenues &amp; Expenses'!O11</f>
        <v>New Construction</v>
      </c>
      <c r="P1726" s="748">
        <f>'Part VI-Revenues &amp; Expenses'!P11</f>
        <v>24280</v>
      </c>
      <c r="Q1726" s="748">
        <f>'Part VI-Revenues &amp; Expenses'!Q11</f>
        <v>0.51484308736217133</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4</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3900</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4</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4</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4</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3</v>
      </c>
      <c r="D1727" s="748">
        <f>'Part VI-Revenues &amp; Expenses'!D12</f>
        <v>2</v>
      </c>
      <c r="E1727" s="748">
        <f>'Part VI-Revenues &amp; Expenses'!E12</f>
        <v>3</v>
      </c>
      <c r="F1727" s="748">
        <f>'Part VI-Revenues &amp; Expenses'!F12</f>
        <v>1105</v>
      </c>
      <c r="G1727" s="748">
        <f>'Part VI-Revenues &amp; Expenses'!G12</f>
        <v>702</v>
      </c>
      <c r="H1727" s="748">
        <f>'Part VI-Revenues &amp; Expenses'!H12</f>
        <v>702</v>
      </c>
      <c r="I1727" s="748">
        <f>'Part VI-Revenues &amp; Expenses'!I12</f>
        <v>161</v>
      </c>
      <c r="J1727" s="748">
        <f>'Part VI-Revenues &amp; Expenses'!J12</f>
        <v>0</v>
      </c>
      <c r="K1727" s="748">
        <f t="shared" si="271"/>
        <v>541</v>
      </c>
      <c r="L1727" s="748">
        <f t="shared" si="99"/>
        <v>1623</v>
      </c>
      <c r="M1727" s="748" t="str">
        <f>'Part VI-Revenues &amp; Expenses'!M12</f>
        <v>No</v>
      </c>
      <c r="N1727" s="748" t="str">
        <f>'Part VI-Revenues &amp; Expenses'!N12</f>
        <v>3+ Story</v>
      </c>
      <c r="O1727" s="748" t="str">
        <f>'Part VI-Revenues &amp; Expenses'!O12</f>
        <v>New Construction</v>
      </c>
      <c r="P1727" s="748">
        <f>'Part VI-Revenues &amp; Expenses'!P12</f>
        <v>28080</v>
      </c>
      <c r="Q1727" s="748">
        <f>'Part VI-Revenues &amp; Expenses'!Q12</f>
        <v>0.51526717557251911</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3</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3315</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3</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3</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f t="shared" si="243"/>
        <v>3</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1</v>
      </c>
      <c r="D1728" s="748">
        <f>'Part VI-Revenues &amp; Expenses'!D13</f>
        <v>1</v>
      </c>
      <c r="E1728" s="748">
        <f>'Part VI-Revenues &amp; Expenses'!E13</f>
        <v>5</v>
      </c>
      <c r="F1728" s="748">
        <f>'Part VI-Revenues &amp; Expenses'!F13</f>
        <v>750</v>
      </c>
      <c r="G1728" s="748">
        <f>'Part VI-Revenues &amp; Expenses'!G13</f>
        <v>607</v>
      </c>
      <c r="H1728" s="748">
        <f>'Part VI-Revenues &amp; Expenses'!H13</f>
        <v>577</v>
      </c>
      <c r="I1728" s="748">
        <f>'Part VI-Revenues &amp; Expenses'!I13</f>
        <v>102</v>
      </c>
      <c r="J1728" s="748">
        <f>'Part VI-Revenues &amp; Expenses'!J13</f>
        <v>0</v>
      </c>
      <c r="K1728" s="748">
        <f t="shared" si="271"/>
        <v>475</v>
      </c>
      <c r="L1728" s="748">
        <f t="shared" si="99"/>
        <v>2375</v>
      </c>
      <c r="M1728" s="748" t="str">
        <f>'Part VI-Revenues &amp; Expenses'!M13</f>
        <v>No</v>
      </c>
      <c r="N1728" s="748" t="str">
        <f>'Part VI-Revenues &amp; Expenses'!N13</f>
        <v>3+ Story</v>
      </c>
      <c r="O1728" s="748" t="str">
        <f>'Part VI-Revenues &amp; Expenses'!O13</f>
        <v>New Construction</v>
      </c>
      <c r="P1728" s="748">
        <f>'Part VI-Revenues &amp; Expenses'!P13</f>
        <v>23080</v>
      </c>
      <c r="Q1728" s="748">
        <f>'Part VI-Revenues &amp; Expenses'!Q13</f>
        <v>0.58727735368956746</v>
      </c>
      <c r="R1728" s="748">
        <f>'Part VI-Revenues &amp; Expenses'!R13</f>
        <v>0</v>
      </c>
      <c r="T1728" s="748" t="str">
        <f t="shared" si="100"/>
        <v/>
      </c>
      <c r="U1728" s="748">
        <f t="shared" si="101"/>
        <v>5</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3750</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f t="shared" si="156"/>
        <v>5</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5</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f t="shared" si="241"/>
        <v>5</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2</v>
      </c>
      <c r="E1729" s="748">
        <f>'Part VI-Revenues &amp; Expenses'!E14</f>
        <v>22</v>
      </c>
      <c r="F1729" s="748">
        <f>'Part VI-Revenues &amp; Expenses'!F14</f>
        <v>975</v>
      </c>
      <c r="G1729" s="748">
        <f>'Part VI-Revenues &amp; Expenses'!G14</f>
        <v>729</v>
      </c>
      <c r="H1729" s="748">
        <f>'Part VI-Revenues &amp; Expenses'!H14</f>
        <v>681</v>
      </c>
      <c r="I1729" s="748">
        <f>'Part VI-Revenues &amp; Expenses'!I14</f>
        <v>131</v>
      </c>
      <c r="J1729" s="748">
        <f>'Part VI-Revenues &amp; Expenses'!J14</f>
        <v>0</v>
      </c>
      <c r="K1729" s="748">
        <f t="shared" si="271"/>
        <v>550</v>
      </c>
      <c r="L1729" s="748">
        <f t="shared" si="99"/>
        <v>12100</v>
      </c>
      <c r="M1729" s="748" t="str">
        <f>'Part VI-Revenues &amp; Expenses'!M14</f>
        <v>No</v>
      </c>
      <c r="N1729" s="748" t="str">
        <f>'Part VI-Revenues &amp; Expenses'!N14</f>
        <v>3+ Story</v>
      </c>
      <c r="O1729" s="748" t="str">
        <f>'Part VI-Revenues &amp; Expenses'!O14</f>
        <v>New Construction</v>
      </c>
      <c r="P1729" s="748">
        <f>'Part VI-Revenues &amp; Expenses'!P14</f>
        <v>27240</v>
      </c>
      <c r="Q1729" s="748">
        <f>'Part VI-Revenues &amp; Expenses'!Q14</f>
        <v>0.57760814249363868</v>
      </c>
      <c r="R1729" s="748">
        <f>'Part VI-Revenues &amp; Expenses'!R14</f>
        <v>0</v>
      </c>
      <c r="T1729" s="748" t="str">
        <f t="shared" si="100"/>
        <v/>
      </c>
      <c r="U1729" s="748" t="str">
        <f t="shared" si="101"/>
        <v/>
      </c>
      <c r="V1729" s="748">
        <f t="shared" si="102"/>
        <v>22</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21450</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f t="shared" si="157"/>
        <v>22</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22</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f t="shared" si="242"/>
        <v>22</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3</v>
      </c>
      <c r="D1730" s="748">
        <f>'Part VI-Revenues &amp; Expenses'!D15</f>
        <v>2</v>
      </c>
      <c r="E1730" s="748">
        <f>'Part VI-Revenues &amp; Expenses'!E15</f>
        <v>13</v>
      </c>
      <c r="F1730" s="748">
        <f>'Part VI-Revenues &amp; Expenses'!F15</f>
        <v>1105</v>
      </c>
      <c r="G1730" s="748">
        <f>'Part VI-Revenues &amp; Expenses'!G15</f>
        <v>843</v>
      </c>
      <c r="H1730" s="748">
        <f>'Part VI-Revenues &amp; Expenses'!H15</f>
        <v>786</v>
      </c>
      <c r="I1730" s="748">
        <f>'Part VI-Revenues &amp; Expenses'!I15</f>
        <v>161</v>
      </c>
      <c r="J1730" s="748">
        <f>'Part VI-Revenues &amp; Expenses'!J15</f>
        <v>0</v>
      </c>
      <c r="K1730" s="748">
        <f t="shared" si="271"/>
        <v>625</v>
      </c>
      <c r="L1730" s="748">
        <f t="shared" si="99"/>
        <v>8125</v>
      </c>
      <c r="M1730" s="748" t="str">
        <f>'Part VI-Revenues &amp; Expenses'!M15</f>
        <v>No</v>
      </c>
      <c r="N1730" s="748" t="str">
        <f>'Part VI-Revenues &amp; Expenses'!N15</f>
        <v>3+ Story</v>
      </c>
      <c r="O1730" s="748" t="str">
        <f>'Part VI-Revenues &amp; Expenses'!O15</f>
        <v>New Construction</v>
      </c>
      <c r="P1730" s="748">
        <f>'Part VI-Revenues &amp; Expenses'!P15</f>
        <v>31440</v>
      </c>
      <c r="Q1730" s="748">
        <f>'Part VI-Revenues &amp; Expenses'!Q15</f>
        <v>0.57692307692307687</v>
      </c>
      <c r="R1730" s="748">
        <f>'Part VI-Revenues &amp; Expenses'!R15</f>
        <v>0</v>
      </c>
      <c r="T1730" s="748" t="str">
        <f t="shared" si="100"/>
        <v/>
      </c>
      <c r="U1730" s="748" t="str">
        <f t="shared" si="101"/>
        <v/>
      </c>
      <c r="V1730" s="748" t="str">
        <f t="shared" si="102"/>
        <v/>
      </c>
      <c r="W1730" s="748">
        <f t="shared" si="103"/>
        <v>13</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14365</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13</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f t="shared" si="203"/>
        <v>13</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f t="shared" si="243"/>
        <v>13</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48</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47530</v>
      </c>
      <c r="K1763" s="748" t="s">
        <v>2002</v>
      </c>
      <c r="L1763" s="748">
        <f>SUM(L1725:L1762)</f>
        <v>26531</v>
      </c>
      <c r="T1763" s="748">
        <f t="shared" ref="T1763:CE1763" si="304">SUM(T1725:T1762)</f>
        <v>0</v>
      </c>
      <c r="U1763" s="748">
        <f t="shared" si="304"/>
        <v>5</v>
      </c>
      <c r="V1763" s="748">
        <f t="shared" si="304"/>
        <v>22</v>
      </c>
      <c r="W1763" s="748">
        <f t="shared" si="304"/>
        <v>13</v>
      </c>
      <c r="X1763" s="748">
        <f t="shared" si="304"/>
        <v>0</v>
      </c>
      <c r="Y1763" s="748">
        <f t="shared" si="304"/>
        <v>0</v>
      </c>
      <c r="Z1763" s="748">
        <f t="shared" si="304"/>
        <v>1</v>
      </c>
      <c r="AA1763" s="748">
        <f t="shared" si="304"/>
        <v>4</v>
      </c>
      <c r="AB1763" s="748">
        <f t="shared" si="304"/>
        <v>3</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3750</v>
      </c>
      <c r="BY1763" s="748">
        <f t="shared" si="304"/>
        <v>21450</v>
      </c>
      <c r="BZ1763" s="748">
        <f t="shared" si="304"/>
        <v>14365</v>
      </c>
      <c r="CA1763" s="748">
        <f t="shared" si="304"/>
        <v>0</v>
      </c>
      <c r="CB1763" s="748">
        <f t="shared" si="304"/>
        <v>0</v>
      </c>
      <c r="CC1763" s="748">
        <f t="shared" si="304"/>
        <v>750</v>
      </c>
      <c r="CD1763" s="748">
        <f t="shared" si="304"/>
        <v>3900</v>
      </c>
      <c r="CE1763" s="748">
        <f t="shared" si="304"/>
        <v>3315</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6</v>
      </c>
      <c r="DC1763" s="748">
        <f t="shared" si="305"/>
        <v>26</v>
      </c>
      <c r="DD1763" s="748">
        <f t="shared" si="305"/>
        <v>16</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6</v>
      </c>
      <c r="EV1763" s="748">
        <f t="shared" si="306"/>
        <v>26</v>
      </c>
      <c r="EW1763" s="748">
        <f t="shared" si="306"/>
        <v>16</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6</v>
      </c>
      <c r="GJ1763" s="748">
        <f t="shared" si="306"/>
        <v>26</v>
      </c>
      <c r="GK1763" s="748">
        <f t="shared" si="306"/>
        <v>16</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318372</v>
      </c>
    </row>
    <row r="1765" spans="1:219" ht="6" customHeight="1"/>
    <row r="1766" spans="1:219" ht="14.45" customHeight="1">
      <c r="A1766" s="748" t="s">
        <v>4052</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5</v>
      </c>
      <c r="J1772" s="748">
        <f>V1763</f>
        <v>22</v>
      </c>
      <c r="K1772" s="748">
        <f>W1763</f>
        <v>13</v>
      </c>
      <c r="L1772" s="748">
        <f>X1763</f>
        <v>0</v>
      </c>
      <c r="M1772" s="748">
        <f t="shared" ref="M1772:M1778" si="308">SUM(H1772:L1772)</f>
        <v>40</v>
      </c>
      <c r="N1772" s="748" t="s">
        <v>1483</v>
      </c>
      <c r="Q1772" s="748">
        <f t="shared" ref="Q1772:Q1778" si="309">ABS(M1772-AD1772)</f>
        <v>0</v>
      </c>
      <c r="T1772" s="748" t="s">
        <v>1778</v>
      </c>
      <c r="X1772" s="748" t="s">
        <v>1791</v>
      </c>
      <c r="Y1772" s="748">
        <f>T1763</f>
        <v>0</v>
      </c>
      <c r="Z1772" s="748">
        <f>U1763</f>
        <v>5</v>
      </c>
      <c r="AA1772" s="748">
        <f>V1763</f>
        <v>22</v>
      </c>
      <c r="AB1772" s="748">
        <f>W1763</f>
        <v>13</v>
      </c>
      <c r="AC1772" s="748">
        <f>X1763</f>
        <v>0</v>
      </c>
      <c r="AD1772" s="748">
        <f t="shared" ref="AD1772:AD1778" si="310">SUM(Y1772:AC1772)</f>
        <v>40</v>
      </c>
      <c r="AE1772" s="748" t="s">
        <v>1555</v>
      </c>
    </row>
    <row r="1773" spans="1:219" ht="15" customHeight="1">
      <c r="A1773" s="748" t="s">
        <v>652</v>
      </c>
      <c r="G1773" s="748" t="s">
        <v>133</v>
      </c>
      <c r="H1773" s="748">
        <f>Y1763</f>
        <v>0</v>
      </c>
      <c r="I1773" s="748">
        <f>Z1763</f>
        <v>1</v>
      </c>
      <c r="J1773" s="748">
        <f>AA1763</f>
        <v>4</v>
      </c>
      <c r="K1773" s="748">
        <f>AB1763</f>
        <v>3</v>
      </c>
      <c r="L1773" s="748">
        <f>AC1763</f>
        <v>0</v>
      </c>
      <c r="M1773" s="748">
        <f t="shared" si="308"/>
        <v>8</v>
      </c>
      <c r="Q1773" s="748">
        <f t="shared" si="309"/>
        <v>0</v>
      </c>
      <c r="X1773" s="748" t="s">
        <v>133</v>
      </c>
      <c r="Y1773" s="748">
        <f>Y1763</f>
        <v>0</v>
      </c>
      <c r="Z1773" s="748">
        <f>Z1763</f>
        <v>1</v>
      </c>
      <c r="AA1773" s="748">
        <f>AA1763</f>
        <v>4</v>
      </c>
      <c r="AB1773" s="748">
        <f>AB1763</f>
        <v>3</v>
      </c>
      <c r="AC1773" s="748">
        <f>AC1763</f>
        <v>0</v>
      </c>
      <c r="AD1773" s="748">
        <f t="shared" si="310"/>
        <v>8</v>
      </c>
    </row>
    <row r="1774" spans="1:219" ht="15" customHeight="1">
      <c r="G1774" s="748" t="s">
        <v>832</v>
      </c>
      <c r="H1774" s="748">
        <f>SUM(H1772:H1773)</f>
        <v>0</v>
      </c>
      <c r="I1774" s="748">
        <f>SUM(I1772:I1773)</f>
        <v>6</v>
      </c>
      <c r="J1774" s="748">
        <f>SUM(J1772:J1773)</f>
        <v>26</v>
      </c>
      <c r="K1774" s="748">
        <f>SUM(K1772:K1773)</f>
        <v>16</v>
      </c>
      <c r="L1774" s="748">
        <f>SUM(L1772:L1773)</f>
        <v>0</v>
      </c>
      <c r="M1774" s="748">
        <f t="shared" si="308"/>
        <v>48</v>
      </c>
      <c r="Q1774" s="748">
        <f t="shared" si="309"/>
        <v>0</v>
      </c>
      <c r="X1774" s="748" t="s">
        <v>832</v>
      </c>
      <c r="Y1774" s="748">
        <f>SUM(Y1772:Y1773)</f>
        <v>0</v>
      </c>
      <c r="Z1774" s="748">
        <f>SUM(Z1772:Z1773)</f>
        <v>6</v>
      </c>
      <c r="AA1774" s="748">
        <f>SUM(AA1772:AA1773)</f>
        <v>26</v>
      </c>
      <c r="AB1774" s="748">
        <f>SUM(AB1772:AB1773)</f>
        <v>16</v>
      </c>
      <c r="AC1774" s="748">
        <f>SUM(AC1772:AC1773)</f>
        <v>0</v>
      </c>
      <c r="AD1774" s="748">
        <f t="shared" si="310"/>
        <v>48</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1779</v>
      </c>
      <c r="H1776" s="748">
        <f>SUM(H1774:H1775)</f>
        <v>0</v>
      </c>
      <c r="I1776" s="748">
        <f>SUM(I1774:I1775)</f>
        <v>6</v>
      </c>
      <c r="J1776" s="748">
        <f>SUM(J1774:J1775)</f>
        <v>26</v>
      </c>
      <c r="K1776" s="748">
        <f>SUM(K1774:K1775)</f>
        <v>16</v>
      </c>
      <c r="L1776" s="748">
        <f>SUM(L1774:L1775)</f>
        <v>0</v>
      </c>
      <c r="M1776" s="748">
        <f t="shared" si="308"/>
        <v>48</v>
      </c>
      <c r="Q1776" s="748">
        <f t="shared" si="309"/>
        <v>0</v>
      </c>
      <c r="T1776" s="748" t="s">
        <v>1779</v>
      </c>
      <c r="Y1776" s="748">
        <f>SUM(Y1774:Y1775)</f>
        <v>0</v>
      </c>
      <c r="Z1776" s="748">
        <f>SUM(Z1774:Z1775)</f>
        <v>6</v>
      </c>
      <c r="AA1776" s="748">
        <f>SUM(AA1774:AA1775)</f>
        <v>26</v>
      </c>
      <c r="AB1776" s="748">
        <f>SUM(AB1774:AB1775)</f>
        <v>16</v>
      </c>
      <c r="AC1776" s="748">
        <f>SUM(AC1774:AC1775)</f>
        <v>0</v>
      </c>
      <c r="AD1776" s="748">
        <f t="shared" si="310"/>
        <v>48</v>
      </c>
    </row>
    <row r="1777" spans="3:31" ht="15" customHeight="1">
      <c r="C1777" s="748" t="s">
        <v>3796</v>
      </c>
      <c r="H1777" s="748">
        <f>BR1763</f>
        <v>0</v>
      </c>
      <c r="I1777" s="748">
        <f>BS1763</f>
        <v>0</v>
      </c>
      <c r="J1777" s="748">
        <f>BT1763</f>
        <v>0</v>
      </c>
      <c r="K1777" s="748">
        <f>BU1763</f>
        <v>0</v>
      </c>
      <c r="L1777" s="748">
        <f>BV1763</f>
        <v>0</v>
      </c>
      <c r="M1777" s="748">
        <f t="shared" si="308"/>
        <v>0</v>
      </c>
      <c r="N1777" s="748" t="s">
        <v>3327</v>
      </c>
      <c r="Q1777" s="748">
        <f t="shared" si="309"/>
        <v>0</v>
      </c>
      <c r="T1777" s="748" t="s">
        <v>3796</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6</v>
      </c>
      <c r="J1778" s="748">
        <f>SUM(J1776:J1777)</f>
        <v>26</v>
      </c>
      <c r="K1778" s="748">
        <f>SUM(K1776:K1777)</f>
        <v>16</v>
      </c>
      <c r="L1778" s="748">
        <f>SUM(L1776:L1777)</f>
        <v>0</v>
      </c>
      <c r="M1778" s="748">
        <f t="shared" si="308"/>
        <v>48</v>
      </c>
      <c r="Q1778" s="748">
        <f t="shared" si="309"/>
        <v>0</v>
      </c>
      <c r="T1778" s="748" t="s">
        <v>832</v>
      </c>
      <c r="Y1778" s="748">
        <f>SUM(Y1776:Y1777)</f>
        <v>0</v>
      </c>
      <c r="Z1778" s="748">
        <f>SUM(Z1776:Z1777)</f>
        <v>6</v>
      </c>
      <c r="AA1778" s="748">
        <f>SUM(AA1776:AA1777)</f>
        <v>26</v>
      </c>
      <c r="AB1778" s="748">
        <f>SUM(AB1776:AB1777)</f>
        <v>16</v>
      </c>
      <c r="AC1778" s="748">
        <f>SUM(AC1776:AC1777)</f>
        <v>0</v>
      </c>
      <c r="AD1778" s="748">
        <f t="shared" si="310"/>
        <v>48</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3797</v>
      </c>
      <c r="G1781" s="748" t="s">
        <v>133</v>
      </c>
      <c r="H1781" s="748">
        <f>AS1763</f>
        <v>0</v>
      </c>
      <c r="I1781" s="748">
        <f>AT1763</f>
        <v>0</v>
      </c>
      <c r="J1781" s="748">
        <f>AU1763</f>
        <v>0</v>
      </c>
      <c r="K1781" s="748">
        <f>AV1763</f>
        <v>0</v>
      </c>
      <c r="L1781" s="748">
        <f>AW1763</f>
        <v>0</v>
      </c>
      <c r="M1781" s="748">
        <f>SUM(H1781:L1781)</f>
        <v>0</v>
      </c>
      <c r="Q1781" s="748">
        <f>ABS(M1781-AD1781)</f>
        <v>0</v>
      </c>
      <c r="T1781" s="748" t="s">
        <v>3797</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3234</v>
      </c>
    </row>
    <row r="1788" spans="3:31" ht="15" customHeight="1">
      <c r="E1788" s="748" t="s">
        <v>3434</v>
      </c>
      <c r="G1788" s="748" t="s">
        <v>2154</v>
      </c>
      <c r="H1788" s="748">
        <f>DA1763</f>
        <v>0</v>
      </c>
      <c r="I1788" s="748">
        <f>DB1763</f>
        <v>6</v>
      </c>
      <c r="J1788" s="748">
        <f>DC1763</f>
        <v>26</v>
      </c>
      <c r="K1788" s="748">
        <f>DD1763</f>
        <v>16</v>
      </c>
      <c r="L1788" s="748">
        <f>DE1763</f>
        <v>0</v>
      </c>
      <c r="M1788" s="748">
        <f t="shared" ref="M1788:M1798" si="311">SUM(H1788:L1788)</f>
        <v>48</v>
      </c>
      <c r="Q1788" s="748">
        <f t="shared" ref="Q1788:Q1796" si="312">ABS(M1788-AD1788)</f>
        <v>0</v>
      </c>
      <c r="V1788" s="748" t="s">
        <v>3434</v>
      </c>
      <c r="X1788" s="748" t="s">
        <v>2154</v>
      </c>
      <c r="Y1788" s="748">
        <f>DA1763</f>
        <v>0</v>
      </c>
      <c r="Z1788" s="748">
        <f>DB1763</f>
        <v>6</v>
      </c>
      <c r="AA1788" s="748">
        <f>DC1763</f>
        <v>26</v>
      </c>
      <c r="AB1788" s="748">
        <f>DD1763</f>
        <v>16</v>
      </c>
      <c r="AC1788" s="748">
        <f>DE1763</f>
        <v>0</v>
      </c>
      <c r="AD1788" s="748">
        <f t="shared" ref="AD1788:AD1796" si="313">SUM(Y1788:AC1788)</f>
        <v>48</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6</v>
      </c>
      <c r="J1790" s="748">
        <f>SUM(J1788:J1789)+DM1763</f>
        <v>26</v>
      </c>
      <c r="K1790" s="748">
        <f>SUM(K1788:K1789)+DN1763</f>
        <v>16</v>
      </c>
      <c r="L1790" s="748">
        <f>SUM(L1788:L1789)+DO1763</f>
        <v>0</v>
      </c>
      <c r="M1790" s="748">
        <f t="shared" si="311"/>
        <v>48</v>
      </c>
      <c r="Q1790" s="748">
        <f t="shared" si="312"/>
        <v>0</v>
      </c>
      <c r="X1790" s="748" t="s">
        <v>34</v>
      </c>
      <c r="Y1790" s="748">
        <f>SUM(Y1788:Y1789)+DK1763</f>
        <v>0</v>
      </c>
      <c r="Z1790" s="748">
        <f>SUM(Z1788:Z1789)+DL1763</f>
        <v>6</v>
      </c>
      <c r="AA1790" s="748">
        <f>SUM(AA1788:AA1789)+DM1763</f>
        <v>26</v>
      </c>
      <c r="AB1790" s="748">
        <f>SUM(AB1788:AB1789)+DN1763</f>
        <v>16</v>
      </c>
      <c r="AC1790" s="748">
        <f>SUM(AC1788:AC1789)+DO1763</f>
        <v>0</v>
      </c>
      <c r="AD1790" s="748">
        <f t="shared" si="313"/>
        <v>48</v>
      </c>
    </row>
    <row r="1791" spans="3:31" ht="15" customHeight="1">
      <c r="E1791" s="748" t="s">
        <v>3236</v>
      </c>
      <c r="G1791" s="748" t="s">
        <v>2154</v>
      </c>
      <c r="H1791" s="748">
        <f>DP1763</f>
        <v>0</v>
      </c>
      <c r="I1791" s="748">
        <f>DQ1763</f>
        <v>0</v>
      </c>
      <c r="J1791" s="748">
        <f>DR1763</f>
        <v>0</v>
      </c>
      <c r="K1791" s="748">
        <f>DS1763</f>
        <v>0</v>
      </c>
      <c r="L1791" s="748">
        <f>DT1763</f>
        <v>0</v>
      </c>
      <c r="M1791" s="748">
        <f t="shared" si="311"/>
        <v>0</v>
      </c>
      <c r="Q1791" s="748">
        <f t="shared" si="312"/>
        <v>0</v>
      </c>
      <c r="V1791" s="748" t="s">
        <v>3236</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3140</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6</v>
      </c>
      <c r="J1800" s="748">
        <f>EV1763</f>
        <v>26</v>
      </c>
      <c r="K1800" s="748">
        <f>EW1763</f>
        <v>16</v>
      </c>
      <c r="L1800" s="748">
        <f>EX1763</f>
        <v>0</v>
      </c>
      <c r="M1800" s="748">
        <f>SUM(H1800:L1800)</f>
        <v>48</v>
      </c>
      <c r="Q1800" s="748">
        <f>ABS(M1800-AD1800)</f>
        <v>0</v>
      </c>
      <c r="V1800" s="748" t="s">
        <v>46</v>
      </c>
      <c r="Y1800" s="748">
        <f>ET1763</f>
        <v>0</v>
      </c>
      <c r="Z1800" s="748">
        <f>EU1763</f>
        <v>6</v>
      </c>
      <c r="AA1800" s="748">
        <f>EV1763</f>
        <v>26</v>
      </c>
      <c r="AB1800" s="748">
        <f>EW1763</f>
        <v>16</v>
      </c>
      <c r="AC1800" s="748">
        <f>EX1763</f>
        <v>0</v>
      </c>
      <c r="AD1800" s="748">
        <f>SUM(Y1800:AC1800)</f>
        <v>48</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3268</v>
      </c>
      <c r="S1806" s="748" t="s">
        <v>1777</v>
      </c>
    </row>
    <row r="1807" spans="2:30" ht="15" customHeight="1">
      <c r="C1807" s="748" t="s">
        <v>3235</v>
      </c>
      <c r="G1807" s="748" t="s">
        <v>1791</v>
      </c>
      <c r="H1807" s="748">
        <f>BW1763</f>
        <v>0</v>
      </c>
      <c r="I1807" s="748">
        <f>BX1763</f>
        <v>3750</v>
      </c>
      <c r="J1807" s="748">
        <f>BY1763</f>
        <v>21450</v>
      </c>
      <c r="K1807" s="748">
        <f>BZ1763</f>
        <v>14365</v>
      </c>
      <c r="L1807" s="748">
        <f>CA1763</f>
        <v>0</v>
      </c>
      <c r="M1807" s="748">
        <f t="shared" ref="M1807:M1813" si="314">SUM(H1807:L1807)</f>
        <v>39565</v>
      </c>
      <c r="Q1807" s="748">
        <f t="shared" ref="Q1807:Q1813" si="315">ABS(M1807-AD1807)</f>
        <v>0</v>
      </c>
      <c r="T1807" s="748" t="s">
        <v>3235</v>
      </c>
      <c r="X1807" s="748" t="s">
        <v>1791</v>
      </c>
      <c r="Y1807" s="748">
        <f>BW1763</f>
        <v>0</v>
      </c>
      <c r="Z1807" s="748">
        <f>BX1763</f>
        <v>3750</v>
      </c>
      <c r="AA1807" s="748">
        <f>BY1763</f>
        <v>21450</v>
      </c>
      <c r="AB1807" s="748">
        <f>BZ1763</f>
        <v>14365</v>
      </c>
      <c r="AC1807" s="748">
        <f>CA1763</f>
        <v>0</v>
      </c>
      <c r="AD1807" s="748">
        <f t="shared" ref="AD1807:AD1813" si="316">SUM(Y1807:AC1807)</f>
        <v>39565</v>
      </c>
    </row>
    <row r="1808" spans="2:30" ht="15" customHeight="1">
      <c r="G1808" s="748" t="s">
        <v>133</v>
      </c>
      <c r="H1808" s="748">
        <f>CB1763</f>
        <v>0</v>
      </c>
      <c r="I1808" s="748">
        <f>CC1763</f>
        <v>750</v>
      </c>
      <c r="J1808" s="748">
        <f>CD1763</f>
        <v>3900</v>
      </c>
      <c r="K1808" s="748">
        <f>CE1763</f>
        <v>3315</v>
      </c>
      <c r="L1808" s="748">
        <f>CF1763</f>
        <v>0</v>
      </c>
      <c r="M1808" s="748">
        <f t="shared" si="314"/>
        <v>7965</v>
      </c>
      <c r="Q1808" s="748">
        <f t="shared" si="315"/>
        <v>0</v>
      </c>
      <c r="X1808" s="748" t="s">
        <v>133</v>
      </c>
      <c r="Y1808" s="748">
        <f>CB1763</f>
        <v>0</v>
      </c>
      <c r="Z1808" s="748">
        <f>CC1763</f>
        <v>750</v>
      </c>
      <c r="AA1808" s="748">
        <f>CD1763</f>
        <v>3900</v>
      </c>
      <c r="AB1808" s="748">
        <f>CE1763</f>
        <v>3315</v>
      </c>
      <c r="AC1808" s="748">
        <f>CF1763</f>
        <v>0</v>
      </c>
      <c r="AD1808" s="748">
        <f t="shared" si="316"/>
        <v>7965</v>
      </c>
    </row>
    <row r="1809" spans="1:30" ht="15" customHeight="1">
      <c r="G1809" s="748" t="s">
        <v>832</v>
      </c>
      <c r="H1809" s="748">
        <f>SUM(H1807:H1808)</f>
        <v>0</v>
      </c>
      <c r="I1809" s="748">
        <f>SUM(I1807:I1808)</f>
        <v>4500</v>
      </c>
      <c r="J1809" s="748">
        <f>SUM(J1807:J1808)</f>
        <v>25350</v>
      </c>
      <c r="K1809" s="748">
        <f>SUM(K1807:K1808)</f>
        <v>17680</v>
      </c>
      <c r="L1809" s="748">
        <f>SUM(L1807:L1808)</f>
        <v>0</v>
      </c>
      <c r="M1809" s="748">
        <f t="shared" si="314"/>
        <v>47530</v>
      </c>
      <c r="Q1809" s="748">
        <f t="shared" si="315"/>
        <v>0</v>
      </c>
      <c r="X1809" s="748" t="s">
        <v>832</v>
      </c>
      <c r="Y1809" s="748">
        <f>SUM(Y1807:Y1808)</f>
        <v>0</v>
      </c>
      <c r="Z1809" s="748">
        <f>SUM(Z1807:Z1808)</f>
        <v>4500</v>
      </c>
      <c r="AA1809" s="748">
        <f>SUM(AA1807:AA1808)</f>
        <v>25350</v>
      </c>
      <c r="AB1809" s="748">
        <f>SUM(AB1807:AB1808)</f>
        <v>17680</v>
      </c>
      <c r="AC1809" s="748">
        <f>SUM(AC1807:AC1808)</f>
        <v>0</v>
      </c>
      <c r="AD1809" s="748">
        <f t="shared" si="316"/>
        <v>47530</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1779</v>
      </c>
      <c r="H1811" s="748">
        <f>SUM(H1809:H1810)</f>
        <v>0</v>
      </c>
      <c r="I1811" s="748">
        <f>SUM(I1809:I1810)</f>
        <v>4500</v>
      </c>
      <c r="J1811" s="748">
        <f>SUM(J1809:J1810)</f>
        <v>25350</v>
      </c>
      <c r="K1811" s="748">
        <f>SUM(K1809:K1810)</f>
        <v>17680</v>
      </c>
      <c r="L1811" s="748">
        <f>SUM(L1809:L1810)</f>
        <v>0</v>
      </c>
      <c r="M1811" s="748">
        <f t="shared" si="314"/>
        <v>47530</v>
      </c>
      <c r="Q1811" s="748">
        <f t="shared" si="315"/>
        <v>0</v>
      </c>
      <c r="T1811" s="748" t="s">
        <v>1779</v>
      </c>
      <c r="Y1811" s="748">
        <f>SUM(Y1809:Y1810)</f>
        <v>0</v>
      </c>
      <c r="Z1811" s="748">
        <f>SUM(Z1809:Z1810)</f>
        <v>4500</v>
      </c>
      <c r="AA1811" s="748">
        <f>SUM(AA1809:AA1810)</f>
        <v>25350</v>
      </c>
      <c r="AB1811" s="748">
        <f>SUM(AB1809:AB1810)</f>
        <v>17680</v>
      </c>
      <c r="AC1811" s="748">
        <f>SUM(AC1809:AC1810)</f>
        <v>0</v>
      </c>
      <c r="AD1811" s="748">
        <f t="shared" si="316"/>
        <v>47530</v>
      </c>
    </row>
    <row r="1812" spans="1:30" ht="15" customHeight="1">
      <c r="C1812" s="748" t="s">
        <v>3796</v>
      </c>
      <c r="H1812" s="748">
        <f>CV1763</f>
        <v>0</v>
      </c>
      <c r="I1812" s="748">
        <f>CW1763</f>
        <v>0</v>
      </c>
      <c r="J1812" s="748">
        <f>CX1763</f>
        <v>0</v>
      </c>
      <c r="K1812" s="748">
        <f>CY1763</f>
        <v>0</v>
      </c>
      <c r="L1812" s="748">
        <f>CZ1763</f>
        <v>0</v>
      </c>
      <c r="M1812" s="748">
        <f t="shared" si="314"/>
        <v>0</v>
      </c>
      <c r="Q1812" s="748">
        <f t="shared" si="315"/>
        <v>0</v>
      </c>
      <c r="T1812" s="748" t="s">
        <v>3796</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4500</v>
      </c>
      <c r="J1813" s="748">
        <f>SUM(J1811:J1812)</f>
        <v>25350</v>
      </c>
      <c r="K1813" s="748">
        <f>SUM(K1811:K1812)</f>
        <v>17680</v>
      </c>
      <c r="L1813" s="748">
        <f>SUM(L1811:L1812)</f>
        <v>0</v>
      </c>
      <c r="M1813" s="748">
        <f t="shared" si="314"/>
        <v>47530</v>
      </c>
      <c r="Q1813" s="748">
        <f t="shared" si="315"/>
        <v>0</v>
      </c>
      <c r="T1813" s="748" t="s">
        <v>832</v>
      </c>
      <c r="Y1813" s="748">
        <f>SUM(Y1811:Y1812)</f>
        <v>0</v>
      </c>
      <c r="Z1813" s="748">
        <f>SUM(Z1811:Z1812)</f>
        <v>4500</v>
      </c>
      <c r="AA1813" s="748">
        <f>SUM(AA1811:AA1812)</f>
        <v>25350</v>
      </c>
      <c r="AB1813" s="748">
        <f>SUM(AB1811:AB1812)</f>
        <v>17680</v>
      </c>
      <c r="AC1813" s="748">
        <f>SUM(AC1811:AC1812)</f>
        <v>0</v>
      </c>
      <c r="AD1813" s="748">
        <f t="shared" si="316"/>
        <v>47530</v>
      </c>
    </row>
    <row r="1814" spans="1:30" ht="4.9000000000000004" customHeight="1"/>
    <row r="1815" spans="1:30" ht="13.9" customHeight="1">
      <c r="A1815" s="748" t="s">
        <v>1231</v>
      </c>
      <c r="B1815" s="748" t="s">
        <v>4053</v>
      </c>
    </row>
    <row r="1816" spans="1:30" ht="9" customHeight="1"/>
    <row r="1817" spans="1:30" ht="12.6" customHeight="1">
      <c r="B1817" s="748" t="s">
        <v>1632</v>
      </c>
      <c r="G1817" s="748">
        <f>0.02*L1764</f>
        <v>6367.4400000000005</v>
      </c>
      <c r="I1817" s="748" t="s">
        <v>3751</v>
      </c>
    </row>
    <row r="1818" spans="1:30" ht="15" customHeight="1"/>
    <row r="1819" spans="1:30" ht="13.9" customHeight="1">
      <c r="B1819" s="748" t="s">
        <v>2169</v>
      </c>
    </row>
    <row r="1820" spans="1:30" ht="15" customHeight="1"/>
    <row r="1821" spans="1:30" ht="13.9"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4054</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4055</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4054</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4055</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4054</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4055</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2822</v>
      </c>
      <c r="B1854" s="748" t="s">
        <v>1635</v>
      </c>
    </row>
    <row r="1855" spans="1:16" ht="9" customHeight="1"/>
    <row r="1856" spans="1:16" ht="13.15" customHeight="1">
      <c r="B1856" s="748" t="s">
        <v>1990</v>
      </c>
      <c r="I1856" s="748" t="s">
        <v>2079</v>
      </c>
      <c r="N1856" s="748" t="s">
        <v>2078</v>
      </c>
    </row>
    <row r="1857" spans="2:16" ht="15.6" customHeight="1">
      <c r="B1857" s="748" t="s">
        <v>3302</v>
      </c>
      <c r="F1857" s="748">
        <f>'Part VI-Revenues &amp; Expenses'!F142</f>
        <v>30000</v>
      </c>
      <c r="I1857" s="748" t="s">
        <v>2080</v>
      </c>
      <c r="K1857" s="748">
        <f>'Part VI-Revenues &amp; Expenses'!K142</f>
        <v>0</v>
      </c>
      <c r="N1857" s="748" t="s">
        <v>1524</v>
      </c>
      <c r="P1857" s="748">
        <f>'Part VI-Revenues &amp; Expenses'!P142</f>
        <v>26400</v>
      </c>
    </row>
    <row r="1858" spans="2:16" ht="15.6" customHeight="1">
      <c r="B1858" s="748" t="s">
        <v>2069</v>
      </c>
      <c r="F1858" s="748">
        <f>'Part VI-Revenues &amp; Expenses'!F143</f>
        <v>24000</v>
      </c>
      <c r="I1858" s="748" t="s">
        <v>2081</v>
      </c>
      <c r="K1858" s="748">
        <f>'Part VI-Revenues &amp; Expenses'!K143</f>
        <v>0</v>
      </c>
      <c r="N1858" s="748" t="s">
        <v>200</v>
      </c>
      <c r="P1858" s="748">
        <f>'Part VI-Revenues &amp; Expenses'!P143</f>
        <v>10600</v>
      </c>
    </row>
    <row r="1859" spans="2:16" ht="15.6" customHeight="1">
      <c r="B1859" s="748" t="s">
        <v>1916</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37000</v>
      </c>
    </row>
    <row r="1861" spans="2:16" ht="15.6" customHeight="1">
      <c r="C1861" s="748" t="s">
        <v>249</v>
      </c>
      <c r="F1861" s="748">
        <f>SUM(F1857:G1860)</f>
        <v>54000</v>
      </c>
    </row>
    <row r="1862" spans="2:16" ht="9" customHeight="1"/>
    <row r="1863" spans="2:16" ht="13.15" customHeight="1">
      <c r="B1863" s="748" t="s">
        <v>1991</v>
      </c>
      <c r="I1863" s="748" t="s">
        <v>1992</v>
      </c>
      <c r="N1863" s="748" t="s">
        <v>2082</v>
      </c>
      <c r="P1863" s="748">
        <f>IF(OR('Part VII-Pro Forma'!$B$20 = "Choose Mgt Fee",'Part VII-Pro Forma'!$B$20 = "Choose One!"), 0,- 'Part VII-Pro Forma'!$B$20)</f>
        <v>21141</v>
      </c>
    </row>
    <row r="1864" spans="2:16" ht="15.6" customHeight="1">
      <c r="B1864" s="748" t="s">
        <v>2074</v>
      </c>
      <c r="F1864" s="748">
        <f>'Part VI-Revenues &amp; Expenses'!F149</f>
        <v>6000</v>
      </c>
      <c r="I1864" s="748" t="s">
        <v>2364</v>
      </c>
      <c r="K1864" s="748">
        <f>'Part VI-Revenues &amp; Expenses'!K149</f>
        <v>1500</v>
      </c>
      <c r="N1864" s="748">
        <f>+P1863/(M1778*0.93)</f>
        <v>473.58870967741933</v>
      </c>
      <c r="O1864" s="748" t="s">
        <v>3861</v>
      </c>
    </row>
    <row r="1865" spans="2:16" ht="15.6" customHeight="1">
      <c r="B1865" s="748" t="s">
        <v>2075</v>
      </c>
      <c r="F1865" s="748">
        <f>'Part VI-Revenues &amp; Expenses'!F150</f>
        <v>2500</v>
      </c>
      <c r="I1865" s="748" t="s">
        <v>3139</v>
      </c>
      <c r="K1865" s="748">
        <f>'Part VI-Revenues &amp; Expenses'!K150</f>
        <v>5000</v>
      </c>
      <c r="N1865" s="748">
        <f>+P1863/(M1778*0.93)/12</f>
        <v>39.465725806451609</v>
      </c>
      <c r="O1865" s="748" t="s">
        <v>3862</v>
      </c>
    </row>
    <row r="1866" spans="2:16" ht="15.6" customHeight="1">
      <c r="B1866" s="748" t="s">
        <v>2076</v>
      </c>
      <c r="F1866" s="748">
        <f>'Part VI-Revenues &amp; Expenses'!F151</f>
        <v>3000</v>
      </c>
      <c r="I1866" s="748" t="s">
        <v>2365</v>
      </c>
      <c r="K1866" s="748">
        <f>'Part VI-Revenues &amp; Expenses'!K151</f>
        <v>6000</v>
      </c>
    </row>
    <row r="1867" spans="2:16" ht="15.6" customHeight="1">
      <c r="B1867" s="748" t="s">
        <v>3487</v>
      </c>
      <c r="F1867" s="748">
        <f>'Part VI-Revenues &amp; Expenses'!F152</f>
        <v>0</v>
      </c>
      <c r="I1867" s="748" t="str">
        <f>'Part VI-Revenues &amp; Expenses'!I152</f>
        <v>Bank Fees</v>
      </c>
      <c r="K1867" s="748">
        <f>'Part VI-Revenues &amp; Expenses'!K152</f>
        <v>600</v>
      </c>
      <c r="N1867" s="748" t="s">
        <v>3731</v>
      </c>
    </row>
    <row r="1868" spans="2:16" ht="15.6" customHeight="1">
      <c r="B1868" s="748" t="s">
        <v>2362</v>
      </c>
      <c r="F1868" s="748">
        <f>'Part VI-Revenues &amp; Expenses'!F153</f>
        <v>0</v>
      </c>
      <c r="J1868" s="748" t="s">
        <v>249</v>
      </c>
      <c r="K1868" s="748">
        <f>SUM(K1864:K1867)</f>
        <v>13100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11500</v>
      </c>
    </row>
    <row r="1871" spans="2:16" ht="9" customHeight="1"/>
    <row r="1872" spans="2:16" ht="13.15" customHeight="1">
      <c r="B1872" s="748" t="s">
        <v>1993</v>
      </c>
      <c r="I1872" s="748" t="s">
        <v>2077</v>
      </c>
      <c r="J1872" s="748" t="s">
        <v>3553</v>
      </c>
      <c r="N1872" s="748" t="s">
        <v>3292</v>
      </c>
    </row>
    <row r="1873" spans="1:16" ht="15.6" customHeight="1">
      <c r="B1873" s="748" t="s">
        <v>2366</v>
      </c>
      <c r="F1873" s="748">
        <f>'Part VI-Revenues &amp; Expenses'!F158</f>
        <v>1500</v>
      </c>
      <c r="I1873" s="748" t="s">
        <v>2070</v>
      </c>
      <c r="J1873" s="748" t="e">
        <f>K1873/12/$M$63</f>
        <v>#DIV/0!</v>
      </c>
      <c r="K1873" s="748">
        <f>'Part VI-Revenues &amp; Expenses'!K158</f>
        <v>6000</v>
      </c>
      <c r="N1873" s="748" t="e">
        <f>+$P$158/$M$63</f>
        <v>#DIV/0!</v>
      </c>
      <c r="O1873" s="748" t="s">
        <v>2110</v>
      </c>
      <c r="P1873" s="748">
        <f>F1861+F1870+F1881+K1859+K1868+K1878+P1860+P1863</f>
        <v>192501</v>
      </c>
    </row>
    <row r="1874" spans="1:16" ht="15.6" customHeight="1">
      <c r="B1874" s="748" t="s">
        <v>2367</v>
      </c>
      <c r="F1874" s="748">
        <f>'Part VI-Revenues &amp; Expenses'!F159</f>
        <v>2500</v>
      </c>
      <c r="I1874" s="748" t="s">
        <v>2071</v>
      </c>
      <c r="J1874" s="748" t="e">
        <f>K1874/12/$M$63</f>
        <v>#DIV/0!</v>
      </c>
      <c r="K1874" s="748">
        <f>'Part VI-Revenues &amp; Expenses'!K159</f>
        <v>0</v>
      </c>
    </row>
    <row r="1875" spans="1:16" ht="15.6" customHeight="1">
      <c r="B1875" s="748" t="s">
        <v>2368</v>
      </c>
      <c r="F1875" s="748">
        <f>'Part VI-Revenues &amp; Expenses'!F160</f>
        <v>10000</v>
      </c>
      <c r="I1875" s="748" t="s">
        <v>3552</v>
      </c>
      <c r="J1875" s="748" t="e">
        <f>K1875/12/$M$63</f>
        <v>#DIV/0!</v>
      </c>
      <c r="K1875" s="748">
        <f>'Part VI-Revenues &amp; Expenses'!K160</f>
        <v>20160</v>
      </c>
    </row>
    <row r="1876" spans="1:16" ht="15.6" customHeight="1">
      <c r="B1876" s="748" t="s">
        <v>1616</v>
      </c>
      <c r="F1876" s="748">
        <f>'Part VI-Revenues &amp; Expenses'!F161</f>
        <v>500</v>
      </c>
      <c r="I1876" s="748" t="s">
        <v>2073</v>
      </c>
      <c r="K1876" s="748">
        <f>'Part VI-Revenues &amp; Expenses'!K161</f>
        <v>3500</v>
      </c>
      <c r="N1876" s="748" t="s">
        <v>1922</v>
      </c>
      <c r="P1876" s="748">
        <f>P1877*M1778</f>
        <v>14400</v>
      </c>
    </row>
    <row r="1877" spans="1:16" ht="15.6" customHeight="1">
      <c r="B1877" s="748" t="s">
        <v>1617</v>
      </c>
      <c r="F1877" s="748">
        <f>'Part VI-Revenues &amp; Expenses'!F162</f>
        <v>2000</v>
      </c>
      <c r="I1877" s="748" t="str">
        <f>'Part VI-Revenues &amp; Expenses'!I162</f>
        <v>Other (describe here)</v>
      </c>
      <c r="K1877" s="748">
        <f>'Part VI-Revenues &amp; Expenses'!K162</f>
        <v>0</v>
      </c>
      <c r="N1877" s="748" t="s">
        <v>679</v>
      </c>
      <c r="P1877" s="748">
        <f>'Part VI-Revenues &amp; Expenses'!P162</f>
        <v>300</v>
      </c>
    </row>
    <row r="1878" spans="1:16" ht="15.6" customHeight="1">
      <c r="B1878" s="748" t="s">
        <v>1618</v>
      </c>
      <c r="F1878" s="748">
        <f>'Part VI-Revenues &amp; Expenses'!F163</f>
        <v>0</v>
      </c>
      <c r="J1878" s="748" t="s">
        <v>249</v>
      </c>
      <c r="K1878" s="748">
        <f>SUM(K1873:K1877)</f>
        <v>29660</v>
      </c>
    </row>
    <row r="1879" spans="1:16" ht="15.6" customHeight="1">
      <c r="B1879" s="748" t="s">
        <v>1458</v>
      </c>
      <c r="F1879" s="748">
        <f>'Part VI-Revenues &amp; Expenses'!F164</f>
        <v>9600</v>
      </c>
    </row>
    <row r="1880" spans="1:16" ht="15.6" customHeight="1">
      <c r="B1880" s="748" t="str">
        <f>'Part VI-Revenues &amp; Expenses'!B165</f>
        <v>Other (describe here)</v>
      </c>
      <c r="F1880" s="748">
        <f>'Part VI-Revenues &amp; Expenses'!F165</f>
        <v>0</v>
      </c>
      <c r="N1880" s="748" t="s">
        <v>3293</v>
      </c>
    </row>
    <row r="1881" spans="1:16" ht="15.6" customHeight="1">
      <c r="C1881" s="748" t="s">
        <v>249</v>
      </c>
      <c r="F1881" s="748">
        <f>SUM(F1873:G1880)</f>
        <v>26100</v>
      </c>
      <c r="P1881" s="748">
        <f>P1873+P1876</f>
        <v>206901</v>
      </c>
    </row>
    <row r="1882" spans="1:16" ht="10.9" customHeight="1"/>
    <row r="1883" spans="1:16" ht="12" customHeight="1">
      <c r="A1883" s="748" t="s">
        <v>2824</v>
      </c>
      <c r="B1883" s="748" t="s">
        <v>879</v>
      </c>
      <c r="K1883" s="748" t="s">
        <v>822</v>
      </c>
      <c r="L1883" s="748" t="s">
        <v>2896</v>
      </c>
    </row>
    <row r="1884" spans="1:16" ht="51.6" customHeight="1">
      <c r="A1884" s="748" t="str">
        <f>'Part VI-Revenues &amp; Expenses'!A169</f>
        <v>Please see tab 5 for methodology used for the real estate tax budget, which was based on a comparable property in the City of Gray, GA.  An insurance quote can be found in tab 5 as well.</v>
      </c>
      <c r="K1884" s="748">
        <f>'Part VI-Revenues &amp; Expenses'!K169</f>
        <v>0</v>
      </c>
    </row>
    <row r="1885" spans="1:16" ht="51.6" customHeight="1">
      <c r="A1885" s="748">
        <f>'Part VI-Revenues &amp; Expenses'!A170</f>
        <v>0</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2011-030 Water Tower Park Apartments, ,  County</v>
      </c>
    </row>
    <row r="1891" spans="1:11">
      <c r="A1891" s="748" t="s">
        <v>100</v>
      </c>
      <c r="D1891" s="748" t="s">
        <v>90</v>
      </c>
      <c r="F1891" s="748" t="s">
        <v>4056</v>
      </c>
    </row>
    <row r="1893" spans="1:11">
      <c r="A1893" s="748" t="s">
        <v>3294</v>
      </c>
      <c r="B1893" s="748">
        <v>0.02</v>
      </c>
      <c r="D1893" s="748" t="s">
        <v>1365</v>
      </c>
      <c r="G1893" s="748">
        <f>'Part VII-Pro Forma'!G5</f>
        <v>5000</v>
      </c>
      <c r="H1893" s="748" t="s">
        <v>2970</v>
      </c>
      <c r="K1893" s="748" t="str">
        <f>IF(($B$14+$B$15+$B$16+$B$17)=0,"",-B1918/($B$14+$B$15+$B$16+$B$17))</f>
        <v/>
      </c>
    </row>
    <row r="1894" spans="1:11">
      <c r="A1894" s="748" t="s">
        <v>3295</v>
      </c>
      <c r="B1894" s="748">
        <v>0.03</v>
      </c>
      <c r="D1894" s="748" t="s">
        <v>1366</v>
      </c>
      <c r="G1894" s="748">
        <f>'Part VII-Pro Forma'!G6</f>
        <v>0</v>
      </c>
      <c r="H1894" s="748" t="s">
        <v>3586</v>
      </c>
      <c r="K1894" s="748" t="str">
        <f>IF(($B$14+$B$15+$B$16+$B$17)=0,"",-B1920/($B$14+$B$15+$B$16+$B$17))</f>
        <v/>
      </c>
    </row>
    <row r="1895" spans="1:11">
      <c r="A1895" s="748" t="s">
        <v>3297</v>
      </c>
      <c r="B1895" s="748">
        <v>0.03</v>
      </c>
      <c r="D1895" s="748" t="s">
        <v>357</v>
      </c>
      <c r="H1895" s="748" t="s">
        <v>3587</v>
      </c>
      <c r="K1895" s="748" t="str">
        <f>IF(($B$14+$B$15+$B$16+$B$17)=0,"",-B1908/($B$14+$B$15+$B$16+$B$17))</f>
        <v/>
      </c>
    </row>
    <row r="1896" spans="1:11">
      <c r="A1896" s="748" t="s">
        <v>3296</v>
      </c>
      <c r="B1896" s="748">
        <f>'Part VII-Pro Forma'!B8</f>
        <v>7.0000000000000007E-2</v>
      </c>
      <c r="D1896" s="748" t="s">
        <v>3788</v>
      </c>
      <c r="G1896" s="748" t="str">
        <f>'Part VII-Pro Forma'!G8</f>
        <v>No</v>
      </c>
      <c r="H1896" s="748" t="s">
        <v>2168</v>
      </c>
      <c r="K1896" s="748">
        <f>'Part VII-Pro Forma'!K8</f>
        <v>0</v>
      </c>
    </row>
    <row r="1897" spans="1:11">
      <c r="A1897" s="748" t="s">
        <v>2129</v>
      </c>
      <c r="B1897" s="748">
        <v>0.02</v>
      </c>
      <c r="D1897" s="748" t="s">
        <v>2743</v>
      </c>
      <c r="G1897" s="748" t="str">
        <f>'Part VII-Pro Forma'!G9</f>
        <v>Yes</v>
      </c>
      <c r="H1897" s="748" t="s">
        <v>3560</v>
      </c>
      <c r="K1897" s="748">
        <f>'Part VII-Pro Forma'!K9</f>
        <v>7.0000000000000007E-2</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-64477.102100313889</v>
      </c>
      <c r="C1913" s="748">
        <f>'Part VII-Pro Forma'!C25</f>
        <v>-64477.102100313889</v>
      </c>
      <c r="D1913" s="748">
        <f>'Part VII-Pro Forma'!D25</f>
        <v>-64477.102100313889</v>
      </c>
      <c r="E1913" s="748">
        <f>'Part VII-Pro Forma'!E25</f>
        <v>-64477.102100313889</v>
      </c>
      <c r="F1913" s="748">
        <f>'Part VII-Pro Forma'!F25</f>
        <v>-64477.102100313889</v>
      </c>
      <c r="G1913" s="748">
        <f>'Part VII-Pro Forma'!G25</f>
        <v>-64477.102100313889</v>
      </c>
      <c r="H1913" s="748">
        <f>'Part VII-Pro Forma'!H25</f>
        <v>-64477.102100313889</v>
      </c>
      <c r="I1913" s="748">
        <f>'Part VII-Pro Forma'!I25</f>
        <v>-64477.102100313889</v>
      </c>
      <c r="J1913" s="748">
        <f>'Part VII-Pro Forma'!J25</f>
        <v>-64477.102100313889</v>
      </c>
      <c r="K1913" s="748">
        <f>'Part VII-Pro Forma'!K25</f>
        <v>-64477.102100313889</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-5000</v>
      </c>
      <c r="C1918" s="748">
        <f>'Part VII-Pro Forma'!C30</f>
        <v>-5150</v>
      </c>
      <c r="D1918" s="748">
        <f>'Part VII-Pro Forma'!D30</f>
        <v>-5305</v>
      </c>
      <c r="E1918" s="748">
        <f>'Part VII-Pro Forma'!E30</f>
        <v>-5464</v>
      </c>
      <c r="F1918" s="748">
        <f>'Part VII-Pro Forma'!F30</f>
        <v>-5628</v>
      </c>
      <c r="G1918" s="748">
        <f>'Part VII-Pro Forma'!G30</f>
        <v>-5796</v>
      </c>
      <c r="H1918" s="748">
        <f>'Part VII-Pro Forma'!H30</f>
        <v>-5970</v>
      </c>
      <c r="I1918" s="748">
        <f>'Part VII-Pro Forma'!I30</f>
        <v>-6149</v>
      </c>
      <c r="J1918" s="748">
        <f>'Part VII-Pro Forma'!J30</f>
        <v>-6334</v>
      </c>
      <c r="K1918" s="748">
        <f>'Part VII-Pro Forma'!K30</f>
        <v>-6524</v>
      </c>
    </row>
    <row r="1919" spans="1:11">
      <c r="A1919" s="748" t="s">
        <v>1864</v>
      </c>
      <c r="B1919" s="748">
        <f>'Part VII-Pro Forma'!B31</f>
        <v>-8871</v>
      </c>
      <c r="C1919" s="748">
        <f>'Part VII-Pro Forma'!C31</f>
        <v>-8871</v>
      </c>
      <c r="D1919" s="748">
        <f>'Part VII-Pro Forma'!D31</f>
        <v>-8871</v>
      </c>
      <c r="E1919" s="748">
        <f>'Part VII-Pro Forma'!E31</f>
        <v>-8871</v>
      </c>
      <c r="F1919" s="748">
        <f>'Part VII-Pro Forma'!F31</f>
        <v>-8871</v>
      </c>
      <c r="G1919" s="748">
        <f>'Part VII-Pro Forma'!G31</f>
        <v>-8871</v>
      </c>
      <c r="H1919" s="748">
        <f>'Part VII-Pro Forma'!H31</f>
        <v>-8871</v>
      </c>
      <c r="I1919" s="748">
        <f>'Part VII-Pro Forma'!I31</f>
        <v>-8871</v>
      </c>
      <c r="J1919" s="748">
        <f>'Part VII-Pro Forma'!J31</f>
        <v>-8871</v>
      </c>
      <c r="K1919" s="748">
        <f>'Part VII-Pro Forma'!K31</f>
        <v>-8871</v>
      </c>
    </row>
    <row r="1920" spans="1:11">
      <c r="A1920" s="748" t="s">
        <v>1808</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1809</v>
      </c>
      <c r="B1921" s="748">
        <f t="shared" ref="B1921:K1921" si="330">SUM(B1910:B1920)</f>
        <v>-78348.102100313889</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743417.33726664598</v>
      </c>
      <c r="C1930" s="748">
        <f>'Part VII-Pro Forma'!C42</f>
        <v>736306.0011558492</v>
      </c>
      <c r="D1930" s="748">
        <f>'Part VII-Pro Forma'!D42</f>
        <v>728623.53232382459</v>
      </c>
      <c r="E1930" s="748">
        <f>'Part VII-Pro Forma'!E42</f>
        <v>720324.06138960412</v>
      </c>
      <c r="F1930" s="748">
        <f>'Part VII-Pro Forma'!F42</f>
        <v>711358.03506472846</v>
      </c>
      <c r="G1930" s="748">
        <f>'Part VII-Pro Forma'!G42</f>
        <v>701671.92028759245</v>
      </c>
      <c r="H1930" s="748">
        <f>'Part VII-Pro Forma'!H42</f>
        <v>691207.88459593349</v>
      </c>
      <c r="I1930" s="748">
        <f>'Part VII-Pro Forma'!I42</f>
        <v>679903.45082907612</v>
      </c>
      <c r="J1930" s="748">
        <f>'Part VII-Pro Forma'!J42</f>
        <v>667691.1240982787</v>
      </c>
      <c r="K1930" s="748">
        <f>'Part VII-Pro Forma'!K42</f>
        <v>654497.98879795033</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124190</v>
      </c>
      <c r="C1934" s="748">
        <f>'Part VII-Pro Forma'!C46</f>
        <v>115319</v>
      </c>
      <c r="D1934" s="748">
        <f>'Part VII-Pro Forma'!D46</f>
        <v>106448</v>
      </c>
      <c r="E1934" s="748">
        <f>'Part VII-Pro Forma'!E46</f>
        <v>97577</v>
      </c>
      <c r="F1934" s="748">
        <f>'Part VII-Pro Forma'!F46</f>
        <v>88706</v>
      </c>
      <c r="G1934" s="748">
        <f>'Part VII-Pro Forma'!G46</f>
        <v>79835</v>
      </c>
      <c r="H1934" s="748">
        <f>'Part VII-Pro Forma'!H46</f>
        <v>70964</v>
      </c>
      <c r="I1934" s="748">
        <f>'Part VII-Pro Forma'!I46</f>
        <v>62093</v>
      </c>
      <c r="J1934" s="748">
        <f>'Part VII-Pro Forma'!J46</f>
        <v>53222</v>
      </c>
      <c r="K1934" s="748">
        <f>'Part VII-Pro Forma'!K46</f>
        <v>44351</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-64477.102100313889</v>
      </c>
      <c r="C1948" s="748">
        <f>'Part VII-Pro Forma'!C60</f>
        <v>-64477.102100313889</v>
      </c>
      <c r="D1948" s="748">
        <f>'Part VII-Pro Forma'!D60</f>
        <v>-64477.102100313889</v>
      </c>
      <c r="E1948" s="748">
        <f>'Part VII-Pro Forma'!E60</f>
        <v>-64477.102100313889</v>
      </c>
      <c r="F1948" s="748">
        <f>'Part VII-Pro Forma'!F60</f>
        <v>-64477.102100313889</v>
      </c>
      <c r="G1948" s="748">
        <f>'Part VII-Pro Forma'!G60</f>
        <v>-64477.102100313889</v>
      </c>
      <c r="H1948" s="748">
        <f>'Part VII-Pro Forma'!H60</f>
        <v>-64477.102100313889</v>
      </c>
      <c r="I1948" s="748">
        <f>'Part VII-Pro Forma'!I60</f>
        <v>-64477.102100313889</v>
      </c>
      <c r="J1948" s="748">
        <f>'Part VII-Pro Forma'!J60</f>
        <v>-64477.102100313889</v>
      </c>
      <c r="K1948" s="748">
        <f>'Part VII-Pro Forma'!K60</f>
        <v>-64477.102100313889</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-6720</v>
      </c>
      <c r="C1953" s="748">
        <f>'Part VII-Pro Forma'!C65</f>
        <v>-6921</v>
      </c>
      <c r="D1953" s="748">
        <f>'Part VII-Pro Forma'!D65</f>
        <v>-7129</v>
      </c>
      <c r="E1953" s="748">
        <f>'Part VII-Pro Forma'!E65</f>
        <v>-7343</v>
      </c>
      <c r="F1953" s="748">
        <f>'Part VII-Pro Forma'!F65</f>
        <v>-7563</v>
      </c>
      <c r="G1953" s="748">
        <f>'Part VII-Pro Forma'!G65</f>
        <v>0</v>
      </c>
      <c r="H1953" s="748">
        <f>'Part VII-Pro Forma'!H65</f>
        <v>0</v>
      </c>
      <c r="I1953" s="748">
        <f>'Part VII-Pro Forma'!I65</f>
        <v>0</v>
      </c>
      <c r="J1953" s="748">
        <f>'Part VII-Pro Forma'!J65</f>
        <v>0</v>
      </c>
      <c r="K1953" s="748">
        <f>'Part VII-Pro Forma'!K65</f>
        <v>0</v>
      </c>
    </row>
    <row r="1954" spans="1:11">
      <c r="A1954" s="748" t="s">
        <v>1864</v>
      </c>
      <c r="B1954" s="748">
        <f>'Part VII-Pro Forma'!B66</f>
        <v>-8871</v>
      </c>
      <c r="C1954" s="748">
        <f>'Part VII-Pro Forma'!C66</f>
        <v>-8871</v>
      </c>
      <c r="D1954" s="748">
        <f>'Part VII-Pro Forma'!D66</f>
        <v>-8871</v>
      </c>
      <c r="E1954" s="748">
        <f>'Part VII-Pro Forma'!E66</f>
        <v>-8871</v>
      </c>
      <c r="F1954" s="748">
        <f>'Part VII-Pro Forma'!F66</f>
        <v>-8871</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640245.27325163083</v>
      </c>
      <c r="C1965" s="748">
        <f>'Part VII-Pro Forma'!C77</f>
        <v>624847.87939338386</v>
      </c>
      <c r="D1965" s="748">
        <f>'Part VII-Pro Forma'!D77</f>
        <v>608213.874676493</v>
      </c>
      <c r="E1965" s="748">
        <f>'Part VII-Pro Forma'!E77</f>
        <v>590243.94317582215</v>
      </c>
      <c r="F1965" s="748">
        <f>'Part VII-Pro Forma'!F77</f>
        <v>570830.7926065611</v>
      </c>
      <c r="G1965" s="748">
        <f>'Part VII-Pro Forma'!G77</f>
        <v>549858.51371886849</v>
      </c>
      <c r="H1965" s="748">
        <f>'Part VII-Pro Forma'!H77</f>
        <v>527201.88824357861</v>
      </c>
      <c r="I1965" s="748">
        <f>'Part VII-Pro Forma'!I77</f>
        <v>502725.6412569533</v>
      </c>
      <c r="J1965" s="748">
        <f>'Part VII-Pro Forma'!J77</f>
        <v>476283.6335006053</v>
      </c>
      <c r="K1965" s="748">
        <f>'Part VII-Pro Forma'!K77</f>
        <v>447717.98883421411</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35480</v>
      </c>
      <c r="C1969" s="748">
        <f>'Part VII-Pro Forma'!C81</f>
        <v>26609</v>
      </c>
      <c r="D1969" s="748">
        <f>'Part VII-Pro Forma'!D81</f>
        <v>17738</v>
      </c>
      <c r="E1969" s="748">
        <f>'Part VII-Pro Forma'!E81</f>
        <v>8867</v>
      </c>
      <c r="F1969" s="748">
        <f>'Part VII-Pro Forma'!F81</f>
        <v>-4</v>
      </c>
      <c r="G1969" s="748">
        <f>'Part VII-Pro Forma'!G81</f>
        <v>-4</v>
      </c>
      <c r="H1969" s="748">
        <f>'Part VII-Pro Forma'!H81</f>
        <v>-4</v>
      </c>
      <c r="I1969" s="748">
        <f>'Part VII-Pro Forma'!I81</f>
        <v>-4</v>
      </c>
      <c r="J1969" s="748">
        <f>'Part VII-Pro Forma'!J81</f>
        <v>-4</v>
      </c>
      <c r="K1969" s="748">
        <f>'Part VII-Pro Forma'!K81</f>
        <v>-4</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-64477.102100313889</v>
      </c>
      <c r="C1983" s="748">
        <f>'Part VII-Pro Forma'!C95</f>
        <v>-64477.102100313889</v>
      </c>
      <c r="D1983" s="748">
        <f>'Part VII-Pro Forma'!D95</f>
        <v>-64477.102100313889</v>
      </c>
      <c r="E1983" s="748">
        <f>'Part VII-Pro Forma'!E95</f>
        <v>-64477.102100313889</v>
      </c>
      <c r="F1983" s="748">
        <f>'Part VII-Pro Forma'!F95</f>
        <v>-64477.102100313889</v>
      </c>
      <c r="G1983" s="748">
        <f>'Part VII-Pro Forma'!G95</f>
        <v>-64477.102100313889</v>
      </c>
      <c r="H1983" s="748">
        <f>'Part VII-Pro Forma'!H95</f>
        <v>-64477.102100313889</v>
      </c>
      <c r="I1983" s="748">
        <f>'Part VII-Pro Forma'!I95</f>
        <v>-64477.102100313889</v>
      </c>
      <c r="J1983" s="748">
        <f>'Part VII-Pro Forma'!J95</f>
        <v>-64477.102100313889</v>
      </c>
      <c r="K1983" s="748">
        <f>'Part VII-Pro Forma'!K95</f>
        <v>-64477.102100313889</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416858.15161135327</v>
      </c>
      <c r="C2000" s="748">
        <f>'Part VII-Pro Forma'!C112</f>
        <v>383519.86835034465</v>
      </c>
      <c r="D2000" s="748">
        <f>'Part VII-Pro Forma'!D112</f>
        <v>347504.08762004663</v>
      </c>
      <c r="E2000" s="748">
        <f>'Part VII-Pro Forma'!E112</f>
        <v>308595.77157217154</v>
      </c>
      <c r="F2000" s="748">
        <f>'Part VII-Pro Forma'!F112</f>
        <v>266562.61202420108</v>
      </c>
      <c r="G2000" s="748">
        <f>'Part VII-Pro Forma'!G112</f>
        <v>221153.64342707192</v>
      </c>
      <c r="H2000" s="748">
        <f>'Part VII-Pro Forma'!H112</f>
        <v>172097.74443613761</v>
      </c>
      <c r="I2000" s="748">
        <f>'Part VII-Pro Forma'!I112</f>
        <v>119102.01913880305</v>
      </c>
      <c r="J2000" s="748">
        <f>'Part VII-Pro Forma'!J112</f>
        <v>61850.048273697204</v>
      </c>
      <c r="K2000" s="748">
        <f>'Part VII-Pro Forma'!K112</f>
        <v>1.5279510989785194E-8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-4</v>
      </c>
      <c r="C2004" s="748">
        <f>'Part VII-Pro Forma'!C116</f>
        <v>-4</v>
      </c>
      <c r="D2004" s="748">
        <f>'Part VII-Pro Forma'!D116</f>
        <v>-4</v>
      </c>
      <c r="E2004" s="748">
        <f>'Part VII-Pro Forma'!E116</f>
        <v>-4</v>
      </c>
      <c r="F2004" s="748">
        <f>'Part VII-Pro Forma'!F116</f>
        <v>-4</v>
      </c>
      <c r="G2004" s="748">
        <f>'Part VII-Pro Forma'!G116</f>
        <v>-4</v>
      </c>
      <c r="H2004" s="748">
        <f>'Part VII-Pro Forma'!H116</f>
        <v>-4</v>
      </c>
      <c r="I2004" s="748">
        <f>'Part VII-Pro Forma'!I116</f>
        <v>-4</v>
      </c>
      <c r="J2004" s="748">
        <f>'Part VII-Pro Forma'!J116</f>
        <v>-4</v>
      </c>
      <c r="K2004" s="748">
        <f>'Part VII-Pro Forma'!K116</f>
        <v>-4</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-64477.102100313889</v>
      </c>
      <c r="C2018" s="748">
        <f>'Part VII-Pro Forma'!C130</f>
        <v>-64477.102100313889</v>
      </c>
      <c r="D2018" s="748">
        <f>'Part VII-Pro Forma'!D130</f>
        <v>-64477.102100313889</v>
      </c>
      <c r="E2018" s="748">
        <f>'Part VII-Pro Forma'!E130</f>
        <v>-64477.102100313889</v>
      </c>
      <c r="F2018" s="748">
        <f>'Part VII-Pro Forma'!F130</f>
        <v>-64477.102100313889</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0</v>
      </c>
      <c r="C2023" s="748">
        <f>'Part VII-Pro Forma'!C135</f>
        <v>0</v>
      </c>
      <c r="D2023" s="748">
        <f>'Part VII-Pro Forma'!D135</f>
        <v>0</v>
      </c>
      <c r="E2023" s="748">
        <f>'Part VII-Pro Forma'!E135</f>
        <v>0</v>
      </c>
      <c r="F2023" s="748">
        <f>'Part VII-Pro Forma'!F135</f>
        <v>0</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-66817.411062916726</v>
      </c>
      <c r="C2035" s="748">
        <f>'Part VII-Pro Forma'!C147</f>
        <v>-139001.12871172838</v>
      </c>
      <c r="D2035" s="748">
        <f>'Part VII-Pro Forma'!D147</f>
        <v>-216982.13711529947</v>
      </c>
      <c r="E2035" s="748">
        <f>'Part VII-Pro Forma'!E147</f>
        <v>-301226.03407310514</v>
      </c>
      <c r="F2035" s="748">
        <f>'Part VII-Pro Forma'!F147</f>
        <v>-392235.81093965267</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-4</v>
      </c>
      <c r="C2039" s="748">
        <f>'Part VII-Pro Forma'!C151</f>
        <v>-4</v>
      </c>
      <c r="D2039" s="748">
        <f>'Part VII-Pro Forma'!D151</f>
        <v>-4</v>
      </c>
      <c r="E2039" s="748">
        <f>'Part VII-Pro Forma'!E151</f>
        <v>-4</v>
      </c>
      <c r="F2039" s="748">
        <f>'Part VII-Pro Forma'!F151</f>
        <v>-4</v>
      </c>
    </row>
    <row r="2041" spans="1:7">
      <c r="A2041" s="748" t="s">
        <v>878</v>
      </c>
      <c r="G2041" s="748" t="s">
        <v>1654</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2011-030 Water Tower Park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2888</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1077</v>
      </c>
      <c r="O2079" s="748" t="s">
        <v>923</v>
      </c>
      <c r="P2079" s="748" t="str">
        <f>'Part VIII-Threshold Criteria'!P31</f>
        <v>No</v>
      </c>
      <c r="Q2079" s="748">
        <f>'Part VIII-Threshold Criteria'!Q31</f>
        <v>0</v>
      </c>
    </row>
    <row r="2080" spans="1:17">
      <c r="B2080" s="748" t="s">
        <v>3061</v>
      </c>
      <c r="C2080" s="748" t="s">
        <v>1078</v>
      </c>
      <c r="J2080" s="748" t="str">
        <f>'Part VIII-Threshold Criteria'!J32</f>
        <v>&lt;&lt; Select &gt;&gt;</v>
      </c>
    </row>
    <row r="2081" spans="1:17">
      <c r="B2081" s="748" t="s">
        <v>2919</v>
      </c>
    </row>
    <row r="2082" spans="1:17">
      <c r="A2082" s="748">
        <f>'Part VIII-Threshold Criteria'!A34</f>
        <v>0</v>
      </c>
    </row>
    <row r="2083" spans="1:17">
      <c r="A2083" s="748">
        <f>'Part VIII-Threshold Criteria'!A35</f>
        <v>0</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2921</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2919</v>
      </c>
      <c r="K2096" s="748" t="s">
        <v>2920</v>
      </c>
    </row>
    <row r="2097" spans="1:17">
      <c r="A2097" s="748">
        <f>'Part VIII-Threshold Criteria'!A49</f>
        <v>0</v>
      </c>
      <c r="K2097" s="748">
        <f>'Part VIII-Threshold Criteria'!K49</f>
        <v>0</v>
      </c>
    </row>
    <row r="2099" spans="1:17">
      <c r="A2099" s="748">
        <v>3</v>
      </c>
      <c r="B2099" s="748" t="s">
        <v>681</v>
      </c>
      <c r="O2099" s="748" t="s">
        <v>2921</v>
      </c>
      <c r="P2099" s="748">
        <f>'Part VIII-Threshold Criteria'!P51</f>
        <v>0</v>
      </c>
    </row>
    <row r="2101" spans="1:17">
      <c r="B2101" s="748" t="s">
        <v>3058</v>
      </c>
      <c r="C2101" s="748" t="s">
        <v>4057</v>
      </c>
      <c r="P2101" s="748" t="str">
        <f>'Part VIII-Threshold Criteria'!P53</f>
        <v>Agree</v>
      </c>
      <c r="Q2101" s="748">
        <f>'Part VIII-Threshold Criteria'!Q53</f>
        <v>0</v>
      </c>
    </row>
    <row r="2102" spans="1:17">
      <c r="B2102" s="748" t="s">
        <v>3061</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2844</v>
      </c>
      <c r="O2104" s="748" t="s">
        <v>2765</v>
      </c>
      <c r="P2104" s="748" t="str">
        <f>'Part VIII-Threshold Criteria'!P56</f>
        <v>No</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2919</v>
      </c>
    </row>
    <row r="2107" spans="1:17">
      <c r="A2107" s="748">
        <f>'Part VIII-Threshold Criteria'!A59</f>
        <v>0</v>
      </c>
    </row>
    <row r="2108" spans="1:17">
      <c r="A2108" s="748">
        <f>'Part VIII-Threshold Criteria'!A60</f>
        <v>0</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Bowen National Research - Nathan Young</v>
      </c>
      <c r="Q2115" s="748">
        <f>'Part VIII-Threshold Criteria'!Q67</f>
        <v>0</v>
      </c>
    </row>
    <row r="2116" spans="1:17">
      <c r="B2116" s="748" t="s">
        <v>3061</v>
      </c>
      <c r="C2116" s="748" t="s">
        <v>3116</v>
      </c>
      <c r="L2116" s="748" t="s">
        <v>3061</v>
      </c>
      <c r="M2116" s="748" t="str">
        <f>'Part VIII-Threshold Criteria'!M68</f>
        <v>4 Months</v>
      </c>
      <c r="Q2116" s="748">
        <f>'Part VIII-Threshold Criteria'!Q68</f>
        <v>0</v>
      </c>
    </row>
    <row r="2117" spans="1:17">
      <c r="B2117" s="748" t="s">
        <v>1238</v>
      </c>
      <c r="C2117" s="748" t="s">
        <v>3729</v>
      </c>
      <c r="L2117" s="748" t="s">
        <v>1238</v>
      </c>
      <c r="M2117" s="748" t="str">
        <f>'Part VIII-Threshold Criteria'!M69</f>
        <v>4 Months</v>
      </c>
      <c r="Q2117" s="748">
        <f>'Part VIII-Threshold Criteria'!Q69</f>
        <v>0</v>
      </c>
    </row>
    <row r="2118" spans="1:17">
      <c r="B2118" s="748" t="s">
        <v>3210</v>
      </c>
      <c r="C2118" s="748" t="s">
        <v>3730</v>
      </c>
      <c r="L2118" s="748" t="s">
        <v>3210</v>
      </c>
      <c r="M2118" s="748">
        <f>'Part VIII-Threshold Criteria'!M70</f>
        <v>0.13300000000000001</v>
      </c>
      <c r="Q2118" s="748">
        <f>'Part VIII-Threshold Criteria'!Q70</f>
        <v>0</v>
      </c>
    </row>
    <row r="2119" spans="1:17">
      <c r="B2119" s="748" t="s">
        <v>2762</v>
      </c>
      <c r="C2119" s="748" t="s">
        <v>3554</v>
      </c>
      <c r="O2119" s="748" t="s">
        <v>2762</v>
      </c>
      <c r="P2119" s="748" t="str">
        <f>'Part VIII-Threshold Criteria'!P71</f>
        <v>No</v>
      </c>
      <c r="Q2119" s="748">
        <f>'Part VIII-Threshold Criteria'!Q71</f>
        <v>0</v>
      </c>
    </row>
    <row r="2120" spans="1:17">
      <c r="D2120" s="748" t="s">
        <v>3591</v>
      </c>
      <c r="E2120" s="748" t="s">
        <v>951</v>
      </c>
      <c r="H2120" s="748" t="s">
        <v>3591</v>
      </c>
      <c r="I2120" s="748" t="s">
        <v>951</v>
      </c>
      <c r="L2120" s="748" t="s">
        <v>3591</v>
      </c>
      <c r="M2120" s="748" t="s">
        <v>951</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2919</v>
      </c>
    </row>
    <row r="2126" spans="1:17">
      <c r="A2126" s="748" t="str">
        <f>'Part VIII-Threshold Criteria'!A78</f>
        <v>According to the market study performed by Bowen National Research (BNR), a market exists for Water Tower Park Apartments.  BNR had no additional recommendations or suggested modifications for the proposed site.</v>
      </c>
    </row>
    <row r="2127" spans="1:17">
      <c r="A2127" s="748">
        <f>'Part VIII-Threshold Criteria'!A79</f>
        <v>0</v>
      </c>
    </row>
    <row r="2128" spans="1:17">
      <c r="B2128" s="748" t="s">
        <v>2920</v>
      </c>
    </row>
    <row r="2129" spans="1:17">
      <c r="A2129" s="748">
        <f>'Part VIII-Threshold Criteria'!A81</f>
        <v>0</v>
      </c>
    </row>
    <row r="2130" spans="1:17">
      <c r="A2130" s="748">
        <f>'Part VIII-Threshold Criteria'!A82</f>
        <v>0</v>
      </c>
    </row>
    <row r="2131" spans="1:17">
      <c r="A2131" s="748">
        <v>5</v>
      </c>
      <c r="B2131" s="748" t="s">
        <v>291</v>
      </c>
      <c r="O2131" s="748" t="s">
        <v>2921</v>
      </c>
      <c r="P2131" s="748">
        <f>'Part VIII-Threshold Criteria'!P83</f>
        <v>0</v>
      </c>
    </row>
    <row r="2133" spans="1:17">
      <c r="B2133" s="748" t="s">
        <v>3058</v>
      </c>
      <c r="C2133" s="748" t="s">
        <v>729</v>
      </c>
      <c r="O2133" s="748" t="s">
        <v>3058</v>
      </c>
      <c r="P2133" s="748" t="str">
        <f>'Part VIII-Threshold Criteria'!P85</f>
        <v>No</v>
      </c>
      <c r="Q2133" s="748">
        <f>'Part VIII-Threshold Criteria'!Q85</f>
        <v>0</v>
      </c>
    </row>
    <row r="2134" spans="1:17">
      <c r="B2134" s="748" t="s">
        <v>3061</v>
      </c>
      <c r="C2134" s="748" t="s">
        <v>2005</v>
      </c>
      <c r="O2134" s="748" t="s">
        <v>3061</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3210</v>
      </c>
      <c r="C2140" s="748" t="s">
        <v>2148</v>
      </c>
    </row>
    <row r="2141" spans="1:17">
      <c r="C2141" s="748" t="s">
        <v>2764</v>
      </c>
      <c r="D2141" s="748" t="s">
        <v>2149</v>
      </c>
      <c r="O2141" s="748" t="s">
        <v>2764</v>
      </c>
      <c r="P2141" s="748" t="str">
        <f>'Part VIII-Threshold Criteria'!P93</f>
        <v>Yes</v>
      </c>
      <c r="Q2141" s="748">
        <f>'Part VIII-Threshold Criteria'!Q93</f>
        <v>0</v>
      </c>
    </row>
    <row r="2142" spans="1:17">
      <c r="C2142" s="748" t="s">
        <v>2765</v>
      </c>
      <c r="D2142" s="748" t="s">
        <v>2150</v>
      </c>
      <c r="O2142" s="748" t="s">
        <v>2765</v>
      </c>
      <c r="P2142" s="748" t="str">
        <f>'Part VIII-Threshold Criteria'!P94</f>
        <v>No</v>
      </c>
      <c r="Q2142" s="748">
        <f>'Part VIII-Threshold Criteria'!Q94</f>
        <v>0</v>
      </c>
    </row>
    <row r="2143" spans="1:17">
      <c r="C2143" s="748" t="s">
        <v>2766</v>
      </c>
      <c r="D2143" s="748" t="s">
        <v>2151</v>
      </c>
      <c r="O2143" s="748" t="s">
        <v>2766</v>
      </c>
      <c r="P2143" s="748" t="str">
        <f>'Part VIII-Threshold Criteria'!P95</f>
        <v>No</v>
      </c>
      <c r="Q2143" s="748">
        <f>'Part VIII-Threshold Criteria'!Q95</f>
        <v>0</v>
      </c>
    </row>
    <row r="2144" spans="1:17">
      <c r="B2144" s="748" t="s">
        <v>2919</v>
      </c>
    </row>
    <row r="2145" spans="1:17">
      <c r="A2145" s="748">
        <f>'Part VIII-Threshold Criteria'!A97</f>
        <v>0</v>
      </c>
    </row>
    <row r="2146" spans="1:17">
      <c r="A2146" s="748">
        <f>'Part VIII-Threshold Criteria'!A98</f>
        <v>0</v>
      </c>
    </row>
    <row r="2147" spans="1:17">
      <c r="B2147" s="748" t="s">
        <v>2920</v>
      </c>
    </row>
    <row r="2148" spans="1:17">
      <c r="A2148" s="748">
        <f>'Part VIII-Threshold Criteria'!A100</f>
        <v>0</v>
      </c>
    </row>
    <row r="2149" spans="1:17">
      <c r="A2149" s="748">
        <f>'Part VIII-Threshold Criteria'!A101</f>
        <v>0</v>
      </c>
    </row>
    <row r="2151" spans="1:17">
      <c r="A2151" s="748">
        <v>6</v>
      </c>
      <c r="B2151" s="748" t="s">
        <v>331</v>
      </c>
      <c r="O2151" s="748" t="s">
        <v>2921</v>
      </c>
      <c r="P2151" s="748">
        <f>'Part VIII-Threshold Criteria'!P103</f>
        <v>0</v>
      </c>
    </row>
    <row r="2153" spans="1:17">
      <c r="B2153" s="748" t="s">
        <v>3058</v>
      </c>
      <c r="C2153" s="748" t="s">
        <v>202</v>
      </c>
      <c r="L2153" s="748" t="s">
        <v>3058</v>
      </c>
      <c r="M2153" s="748" t="str">
        <f>'Part VIII-Threshold Criteria'!M105</f>
        <v>United Consulting</v>
      </c>
      <c r="Q2153" s="748">
        <f>'Part VIII-Threshold Criteria'!Q105</f>
        <v>0</v>
      </c>
    </row>
    <row r="2154" spans="1:17">
      <c r="B2154" s="748" t="s">
        <v>3061</v>
      </c>
      <c r="C2154" s="748" t="s">
        <v>2291</v>
      </c>
      <c r="O2154" s="748" t="s">
        <v>3061</v>
      </c>
      <c r="P2154" s="748" t="str">
        <f>'Part VIII-Threshold Criteria'!P106</f>
        <v>No</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2841</v>
      </c>
      <c r="P2156" s="748">
        <f>'Part VIII-Threshold Criteria'!P108</f>
        <v>61.29</v>
      </c>
      <c r="Q2156" s="748">
        <f>'Part VIII-Threshold Criteria'!Q108</f>
        <v>0</v>
      </c>
    </row>
    <row r="2157" spans="1:17">
      <c r="C2157" s="748" t="s">
        <v>2089</v>
      </c>
    </row>
    <row r="2158" spans="1:17">
      <c r="C2158" s="748" t="str">
        <f>'Part VIII-Threshold Criteria'!C110</f>
        <v>Gray Highway</v>
      </c>
    </row>
    <row r="2159" spans="1:17">
      <c r="B2159" s="748" t="s">
        <v>3210</v>
      </c>
      <c r="C2159" s="748" t="s">
        <v>1944</v>
      </c>
      <c r="O2159" s="748" t="s">
        <v>3210</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2766</v>
      </c>
      <c r="D2165" s="748" t="s">
        <v>1946</v>
      </c>
      <c r="O2165" s="748" t="s">
        <v>2766</v>
      </c>
      <c r="P2165" s="748" t="str">
        <f>'Part VIII-Threshold Criteria'!P117</f>
        <v>No</v>
      </c>
      <c r="Q2165" s="748">
        <f>'Part VIII-Threshold Criteria'!Q117</f>
        <v>0</v>
      </c>
    </row>
    <row r="2166" spans="2:17">
      <c r="D2166" s="748" t="s">
        <v>1407</v>
      </c>
      <c r="P2166" s="748">
        <f>'Part VIII-Threshold Criteria'!P118</f>
        <v>0</v>
      </c>
      <c r="Q2166" s="748">
        <f>'Part VIII-Threshold Criteria'!Q118</f>
        <v>0</v>
      </c>
    </row>
    <row r="2167" spans="2:17">
      <c r="D2167" s="748" t="s">
        <v>3243</v>
      </c>
      <c r="P2167" s="748">
        <f>'Part VIII-Threshold Criteria'!P119</f>
        <v>0</v>
      </c>
      <c r="Q2167" s="748">
        <f>'Part VIII-Threshold Criteria'!Q119</f>
        <v>0</v>
      </c>
    </row>
    <row r="2168" spans="2:17">
      <c r="D2168" s="748" t="s">
        <v>3242</v>
      </c>
      <c r="P2168" s="748">
        <f>'Part VIII-Threshold Criteria'!P120</f>
        <v>0</v>
      </c>
      <c r="Q2168" s="748">
        <f>'Part VIII-Threshold Criteria'!Q120</f>
        <v>0</v>
      </c>
    </row>
    <row r="2169" spans="2:17">
      <c r="C2169" s="748" t="s">
        <v>3569</v>
      </c>
      <c r="D2169" s="748" t="s">
        <v>726</v>
      </c>
      <c r="O2169" s="748" t="s">
        <v>3569</v>
      </c>
      <c r="P2169" s="748" t="str">
        <f>'Part VIII-Threshold Criteria'!P121</f>
        <v>No</v>
      </c>
      <c r="Q2169" s="748">
        <f>'Part VIII-Threshold Criteria'!Q121</f>
        <v>0</v>
      </c>
    </row>
    <row r="2170" spans="2:17">
      <c r="B2170" s="748" t="s">
        <v>2762</v>
      </c>
      <c r="C2170" s="748" t="s">
        <v>3656</v>
      </c>
      <c r="O2170" s="748" t="s">
        <v>2762</v>
      </c>
      <c r="P2170" s="748" t="str">
        <f>'Part VIII-Threshold Criteria'!P122</f>
        <v>No</v>
      </c>
      <c r="Q2170" s="748">
        <f>'Part VIII-Threshold Criteria'!Q122</f>
        <v>0</v>
      </c>
    </row>
    <row r="2171" spans="2:17">
      <c r="C2171" s="748" t="s">
        <v>2764</v>
      </c>
      <c r="D2171" s="748" t="s">
        <v>3657</v>
      </c>
      <c r="F2171" s="748">
        <f>'Part VIII-Threshold Criteria'!F123</f>
        <v>0</v>
      </c>
      <c r="G2171" s="748">
        <f>'Part VIII-Threshold Criteria'!G123</f>
        <v>0</v>
      </c>
      <c r="H2171" s="748" t="s">
        <v>2766</v>
      </c>
      <c r="I2171" s="748" t="s">
        <v>2305</v>
      </c>
      <c r="J2171" s="748">
        <f>'Part VIII-Threshold Criteria'!J123</f>
        <v>0</v>
      </c>
      <c r="K2171" s="748">
        <f>'Part VIII-Threshold Criteria'!K123</f>
        <v>0</v>
      </c>
      <c r="L2171" s="748" t="s">
        <v>2303</v>
      </c>
      <c r="M2171" s="748" t="s">
        <v>3619</v>
      </c>
      <c r="N2171" s="748">
        <f>'Part VIII-Threshold Criteria'!N123</f>
        <v>0</v>
      </c>
      <c r="O2171" s="748">
        <f>'Part VIII-Threshold Criteria'!O123</f>
        <v>0</v>
      </c>
    </row>
    <row r="2172" spans="2:17">
      <c r="C2172" s="748" t="s">
        <v>2765</v>
      </c>
      <c r="D2172" s="748" t="s">
        <v>3773</v>
      </c>
      <c r="F2172" s="748">
        <f>'Part VIII-Threshold Criteria'!F124</f>
        <v>0</v>
      </c>
      <c r="G2172" s="748">
        <f>'Part VIII-Threshold Criteria'!G124</f>
        <v>0</v>
      </c>
      <c r="H2172" s="748" t="s">
        <v>3569</v>
      </c>
      <c r="I2172" s="748" t="s">
        <v>2306</v>
      </c>
      <c r="J2172" s="748">
        <f>'Part VIII-Threshold Criteria'!J124</f>
        <v>0</v>
      </c>
      <c r="K2172" s="748">
        <f>'Part VIII-Threshold Criteria'!K124</f>
        <v>0</v>
      </c>
      <c r="L2172" s="748" t="s">
        <v>2304</v>
      </c>
      <c r="M2172" s="748" t="s">
        <v>2307</v>
      </c>
      <c r="N2172" s="748">
        <f>'Part VIII-Threshold Criteria'!N124</f>
        <v>0</v>
      </c>
      <c r="O2172" s="748">
        <f>'Part VIII-Threshold Criteria'!O124</f>
        <v>0</v>
      </c>
    </row>
    <row r="2173" spans="2:17">
      <c r="C2173" s="748" t="s">
        <v>112</v>
      </c>
      <c r="D2173" s="748" t="s">
        <v>53</v>
      </c>
      <c r="J2173" s="748">
        <f>'Part VIII-Threshold Criteria'!J125</f>
        <v>0</v>
      </c>
    </row>
    <row r="2174" spans="2:17">
      <c r="B2174" s="748" t="s">
        <v>2763</v>
      </c>
      <c r="C2174" s="748" t="s">
        <v>1983</v>
      </c>
      <c r="O2174" s="748" t="s">
        <v>2763</v>
      </c>
      <c r="P2174" s="748" t="str">
        <f>'Part VIII-Threshold Criteria'!P126</f>
        <v>No</v>
      </c>
      <c r="Q2174" s="748">
        <f>'Part VIII-Threshold Criteria'!Q126</f>
        <v>0</v>
      </c>
    </row>
    <row r="2175" spans="2:17">
      <c r="C2175" s="748" t="s">
        <v>2764</v>
      </c>
      <c r="D2175" s="748" t="s">
        <v>1079</v>
      </c>
      <c r="O2175" s="748" t="s">
        <v>2764</v>
      </c>
      <c r="P2175" s="748">
        <f>'Part VIII-Threshold Criteria'!P127</f>
        <v>0</v>
      </c>
      <c r="Q2175" s="748">
        <f>'Part VIII-Threshold Criteria'!Q127</f>
        <v>0</v>
      </c>
    </row>
    <row r="2176" spans="2:17">
      <c r="C2176" s="748" t="s">
        <v>2765</v>
      </c>
      <c r="D2176" s="748" t="s">
        <v>725</v>
      </c>
      <c r="O2176" s="748" t="s">
        <v>2765</v>
      </c>
      <c r="P2176" s="748">
        <f>'Part VIII-Threshold Criteria'!P128</f>
        <v>0</v>
      </c>
      <c r="Q2176" s="748">
        <f>'Part VIII-Threshold Criteria'!Q128</f>
        <v>0</v>
      </c>
    </row>
    <row r="2177" spans="1:17">
      <c r="C2177" s="748" t="s">
        <v>2766</v>
      </c>
      <c r="D2177" s="748" t="s">
        <v>1031</v>
      </c>
      <c r="O2177" s="748" t="s">
        <v>2766</v>
      </c>
      <c r="P2177" s="748">
        <f>'Part VIII-Threshold Criteria'!P129</f>
        <v>0</v>
      </c>
      <c r="Q2177" s="748">
        <f>'Part VIII-Threshold Criteria'!Q129</f>
        <v>0</v>
      </c>
    </row>
    <row r="2178" spans="1:17">
      <c r="B2178" s="748" t="s">
        <v>3018</v>
      </c>
      <c r="C2178" s="748" t="s">
        <v>2781</v>
      </c>
      <c r="O2178" s="748" t="s">
        <v>3018</v>
      </c>
      <c r="P2178" s="748">
        <f>'Part VIII-Threshold Criteria'!P130</f>
        <v>0</v>
      </c>
      <c r="Q2178" s="748">
        <f>'Part VIII-Threshold Criteria'!Q130</f>
        <v>0</v>
      </c>
    </row>
    <row r="2180" spans="1:17">
      <c r="B2180" s="748" t="s">
        <v>2919</v>
      </c>
    </row>
    <row r="2181" spans="1:17">
      <c r="A2181" s="748" t="str">
        <f>'Part VIII-Threshold Criteria'!A133</f>
        <v xml:space="preserve">There are no recognized environmental conditions located at the site according to the environmental study performed by United Consulting, contained in this application. </v>
      </c>
    </row>
    <row r="2182" spans="1:17">
      <c r="A2182" s="748">
        <f>'Part VIII-Threshold Criteria'!A134</f>
        <v>0</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Water Tower Park Apartments, LLC</v>
      </c>
      <c r="P2192" s="748" t="str">
        <f>'Part VIII-Threshold Criteria'!P144</f>
        <v>Yes</v>
      </c>
      <c r="Q2192" s="748">
        <f>'Part VIII-Threshold Criteria'!Q144</f>
        <v>0</v>
      </c>
    </row>
    <row r="2193" spans="1:17">
      <c r="B2193" s="748" t="s">
        <v>2919</v>
      </c>
    </row>
    <row r="2194" spans="1:17">
      <c r="A2194" s="748" t="str">
        <f>'Part VIII-Threshold Criteria'!A146</f>
        <v>For full explanation of site control, please see site control narrative located in tab 12 of this application.</v>
      </c>
    </row>
    <row r="2195" spans="1:17">
      <c r="A2195" s="748">
        <f>'Part VIII-Threshold Criteria'!A147</f>
        <v>0</v>
      </c>
    </row>
    <row r="2196" spans="1:17">
      <c r="B2196" s="748" t="s">
        <v>2920</v>
      </c>
    </row>
    <row r="2197" spans="1:17">
      <c r="A2197" s="748">
        <f>'Part VIII-Threshold Criteria'!A149</f>
        <v>0</v>
      </c>
    </row>
    <row r="2198" spans="1:17">
      <c r="A2198" s="748">
        <f>'Part VIII-Threshold Criteria'!A150</f>
        <v>0</v>
      </c>
    </row>
    <row r="2200" spans="1:17">
      <c r="A2200" s="748">
        <v>8</v>
      </c>
      <c r="B2200" s="748" t="s">
        <v>682</v>
      </c>
      <c r="O2200" s="748" t="s">
        <v>2921</v>
      </c>
      <c r="P2200" s="748">
        <f>'Part VIII-Threshold Criteria'!P152</f>
        <v>0</v>
      </c>
    </row>
    <row r="2201" spans="1:17">
      <c r="B2201" s="748" t="s">
        <v>3058</v>
      </c>
      <c r="C2201" s="748" t="s">
        <v>109</v>
      </c>
      <c r="O2201" s="748" t="s">
        <v>3058</v>
      </c>
      <c r="P2201" s="748" t="str">
        <f>'Part VIII-Threshold Criteria'!P153</f>
        <v>No</v>
      </c>
      <c r="Q2201" s="748">
        <f>'Part VIII-Threshold Criteria'!Q153</f>
        <v>0</v>
      </c>
    </row>
    <row r="2202" spans="1:17">
      <c r="B2202" s="748" t="s">
        <v>3061</v>
      </c>
      <c r="C2202" s="748" t="s">
        <v>3789</v>
      </c>
      <c r="O2202" s="748" t="s">
        <v>3061</v>
      </c>
      <c r="P2202" s="748" t="str">
        <f>'Part VIII-Threshold Criteria'!P154</f>
        <v>Yes</v>
      </c>
      <c r="Q2202" s="748">
        <f>'Part VIII-Threshold Criteria'!Q154</f>
        <v>0</v>
      </c>
    </row>
    <row r="2203" spans="1:17">
      <c r="B2203" s="748" t="s">
        <v>2919</v>
      </c>
    </row>
    <row r="2204" spans="1:17">
      <c r="A2204" s="748" t="str">
        <f>'Part VIII-Threshold Criteria'!A156</f>
        <v>For full explanation of site access, please see site access narrative located in tab 13 of this application.</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332</v>
      </c>
      <c r="O2210" s="748" t="s">
        <v>2921</v>
      </c>
      <c r="P2210" s="748">
        <f>'Part VIII-Threshold Criteria'!P162</f>
        <v>0</v>
      </c>
    </row>
    <row r="2211" spans="1:17">
      <c r="B2211" s="748" t="s">
        <v>3058</v>
      </c>
      <c r="C2211" s="748" t="s">
        <v>696</v>
      </c>
      <c r="O2211" s="748" t="s">
        <v>3058</v>
      </c>
      <c r="P2211" s="748" t="str">
        <f>'Part VIII-Threshold Criteria'!P163</f>
        <v>Yes</v>
      </c>
      <c r="Q2211" s="748">
        <f>'Part VIII-Threshold Criteria'!Q163</f>
        <v>0</v>
      </c>
    </row>
    <row r="2212" spans="1:17">
      <c r="B2212" s="748" t="s">
        <v>3061</v>
      </c>
      <c r="C2212" s="748" t="s">
        <v>721</v>
      </c>
      <c r="O2212" s="748" t="s">
        <v>3061</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3210</v>
      </c>
      <c r="C2214" s="748" t="s">
        <v>929</v>
      </c>
      <c r="O2214" s="748" t="s">
        <v>3210</v>
      </c>
      <c r="P2214" s="748" t="str">
        <f>'Part VIII-Threshold Criteria'!P166</f>
        <v>Yes</v>
      </c>
      <c r="Q2214" s="748">
        <f>'Part VIII-Threshold Criteria'!Q166</f>
        <v>0</v>
      </c>
    </row>
    <row r="2215" spans="1:17">
      <c r="B2215" s="748" t="s">
        <v>2762</v>
      </c>
      <c r="C2215" s="748" t="s">
        <v>3592</v>
      </c>
      <c r="O2215" s="748" t="s">
        <v>2762</v>
      </c>
      <c r="P2215" s="748" t="str">
        <f>'Part VIII-Threshold Criteria'!P167</f>
        <v>Yes</v>
      </c>
      <c r="Q2215" s="748">
        <f>'Part VIII-Threshold Criteria'!Q167</f>
        <v>0</v>
      </c>
    </row>
    <row r="2216" spans="1:17">
      <c r="B2216" s="748" t="s">
        <v>2919</v>
      </c>
    </row>
    <row r="2217" spans="1:17">
      <c r="A2217" s="748">
        <f>'Part VIII-Threshold Criteria'!A169</f>
        <v>0</v>
      </c>
    </row>
    <row r="2218" spans="1:17">
      <c r="A2218" s="748">
        <f>'Part VIII-Threshold Criteria'!A170</f>
        <v>0</v>
      </c>
    </row>
    <row r="2219" spans="1:17">
      <c r="B2219" s="748" t="s">
        <v>2920</v>
      </c>
    </row>
    <row r="2220" spans="1:17">
      <c r="A2220" s="748">
        <f>'Part VIII-Threshold Criteria'!A172</f>
        <v>0</v>
      </c>
    </row>
    <row r="2221" spans="1:17">
      <c r="A2221" s="748">
        <f>'Part VIII-Threshold Criteria'!A173</f>
        <v>0</v>
      </c>
    </row>
    <row r="2223" spans="1:17">
      <c r="A2223" s="748">
        <v>10</v>
      </c>
      <c r="B2223" s="748" t="s">
        <v>348</v>
      </c>
      <c r="O2223" s="748" t="s">
        <v>2921</v>
      </c>
      <c r="P2223" s="748">
        <f>'Part VIII-Threshold Criteria'!P175</f>
        <v>0</v>
      </c>
    </row>
    <row r="2224" spans="1:17">
      <c r="B2224" s="748" t="s">
        <v>3058</v>
      </c>
      <c r="C2224" s="748" t="s">
        <v>110</v>
      </c>
      <c r="H2224" s="748" t="s">
        <v>2764</v>
      </c>
      <c r="I2224" s="748" t="s">
        <v>206</v>
      </c>
      <c r="J2224" s="748">
        <f>'Part VIII-Threshold Criteria'!J176</f>
        <v>0</v>
      </c>
      <c r="O2224" s="748" t="s">
        <v>2764</v>
      </c>
      <c r="P2224" s="748" t="str">
        <f>'Part VIII-Threshold Criteria'!P176</f>
        <v>No</v>
      </c>
      <c r="Q2224" s="748">
        <f>'Part VIII-Threshold Criteria'!Q176</f>
        <v>0</v>
      </c>
    </row>
    <row r="2225" spans="1:17">
      <c r="H2225" s="748" t="s">
        <v>2765</v>
      </c>
      <c r="I2225" s="748" t="s">
        <v>2357</v>
      </c>
      <c r="J2225" s="748" t="str">
        <f>'Part VIII-Threshold Criteria'!J177</f>
        <v>Tri-County EMC</v>
      </c>
      <c r="O2225" s="748" t="s">
        <v>2765</v>
      </c>
      <c r="P2225" s="748" t="str">
        <f>'Part VIII-Threshold Criteria'!P177</f>
        <v>Yes</v>
      </c>
      <c r="Q2225" s="748">
        <f>'Part VIII-Threshold Criteria'!Q177</f>
        <v>0</v>
      </c>
    </row>
    <row r="2226" spans="1:17">
      <c r="B2226" s="748" t="s">
        <v>2919</v>
      </c>
    </row>
    <row r="2227" spans="1:17">
      <c r="A2227" s="748" t="str">
        <f>'Part VIII-Threshold Criteria'!A179</f>
        <v>The project will not be utilizing natural gas at the site, therefore this utility is not applicable.</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3061</v>
      </c>
      <c r="C2235" s="748" t="s">
        <v>2901</v>
      </c>
      <c r="H2235" s="748" t="s">
        <v>2764</v>
      </c>
      <c r="I2235" s="748" t="s">
        <v>971</v>
      </c>
      <c r="J2235" s="748" t="str">
        <f>'Part VIII-Threshold Criteria'!J187</f>
        <v>City of Gray</v>
      </c>
      <c r="O2235" s="748" t="s">
        <v>2170</v>
      </c>
      <c r="P2235" s="748" t="str">
        <f>'Part VIII-Threshold Criteria'!P187</f>
        <v>Yes</v>
      </c>
      <c r="Q2235" s="748">
        <f>'Part VIII-Threshold Criteria'!Q187</f>
        <v>0</v>
      </c>
    </row>
    <row r="2236" spans="1:17">
      <c r="H2236" s="748" t="s">
        <v>2765</v>
      </c>
      <c r="I2236" s="748" t="s">
        <v>131</v>
      </c>
      <c r="J2236" s="748" t="str">
        <f>'Part VIII-Threshold Criteria'!J188</f>
        <v>City of Gray</v>
      </c>
      <c r="O2236" s="748" t="s">
        <v>2765</v>
      </c>
      <c r="P2236" s="748" t="str">
        <f>'Part VIII-Threshold Criteria'!P188</f>
        <v>Yes</v>
      </c>
      <c r="Q2236" s="748">
        <f>'Part VIII-Threshold Criteria'!Q188</f>
        <v>0</v>
      </c>
    </row>
    <row r="2237" spans="1:17">
      <c r="B2237" s="748" t="s">
        <v>2919</v>
      </c>
    </row>
    <row r="2238" spans="1:17">
      <c r="A2238" s="748">
        <f>'Part VIII-Threshold Criteria'!A190</f>
        <v>0</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1238</v>
      </c>
      <c r="C2246" s="748" t="s">
        <v>195</v>
      </c>
      <c r="O2246" s="748" t="s">
        <v>1238</v>
      </c>
      <c r="P2246" s="748" t="str">
        <f>'Part VIII-Threshold Criteria'!P198</f>
        <v>Yes</v>
      </c>
      <c r="Q2246" s="748">
        <f>'Part VIII-Threshold Criteria'!Q198</f>
        <v>0</v>
      </c>
    </row>
    <row r="2247" spans="1:17">
      <c r="B2247" s="748" t="s">
        <v>3210</v>
      </c>
      <c r="C2247" s="748" t="s">
        <v>196</v>
      </c>
      <c r="O2247" s="748" t="s">
        <v>3210</v>
      </c>
      <c r="P2247" s="748" t="str">
        <f>'Part VIII-Threshold Criteria'!P199</f>
        <v>Yes</v>
      </c>
      <c r="Q2247" s="748">
        <f>'Part VIII-Threshold Criteria'!Q199</f>
        <v>0</v>
      </c>
    </row>
    <row r="2248" spans="1:17">
      <c r="B2248" s="748" t="s">
        <v>2919</v>
      </c>
    </row>
    <row r="2249" spans="1:17">
      <c r="A2249" s="748" t="str">
        <f>'Part VIII-Threshold Criteria'!A201</f>
        <v>For evidence of local support, please see local support memo located in tab 16 of this application.</v>
      </c>
    </row>
    <row r="2250" spans="1:17">
      <c r="A2250" s="748">
        <f>'Part VIII-Threshold Criteria'!A202</f>
        <v>0</v>
      </c>
    </row>
    <row r="2252" spans="1:17">
      <c r="B2252" s="748" t="s">
        <v>2920</v>
      </c>
    </row>
    <row r="2253" spans="1:17">
      <c r="A2253" s="748">
        <f>'Part VIII-Threshold Criteria'!A205</f>
        <v>0</v>
      </c>
    </row>
    <row r="2254" spans="1:17">
      <c r="A2254" s="748">
        <f>'Part VIII-Threshold Criteria'!A206</f>
        <v>0</v>
      </c>
    </row>
    <row r="2256" spans="1:17">
      <c r="A2256" s="748">
        <v>13</v>
      </c>
      <c r="B2256" s="748" t="s">
        <v>680</v>
      </c>
      <c r="O2256" s="748" t="s">
        <v>2921</v>
      </c>
      <c r="P2256" s="748">
        <f>'Part VIII-Threshold Criteria'!P208</f>
        <v>0</v>
      </c>
    </row>
    <row r="2257" spans="2:17">
      <c r="B2257" s="748" t="s">
        <v>1838</v>
      </c>
      <c r="P2257" s="748" t="str">
        <f>'Part VIII-Threshold Criteria'!P209</f>
        <v>No</v>
      </c>
      <c r="Q2257" s="748">
        <f>'Part VIII-Threshold Criteria'!Q209</f>
        <v>0</v>
      </c>
    </row>
    <row r="2258" spans="2:17">
      <c r="B2258" s="748" t="s">
        <v>3058</v>
      </c>
      <c r="C2258" s="748" t="s">
        <v>2086</v>
      </c>
    </row>
    <row r="2259" spans="2:17">
      <c r="C2259" s="748" t="s">
        <v>2764</v>
      </c>
      <c r="D2259" s="748" t="s">
        <v>3001</v>
      </c>
      <c r="L2259" s="748" t="s">
        <v>2230</v>
      </c>
      <c r="M2259" s="748" t="str">
        <f>'Part VIII-Threshold Criteria'!M211</f>
        <v>Building</v>
      </c>
      <c r="P2259" s="748" t="str">
        <f>'Part VIII-Threshold Criteria'!P211</f>
        <v>Agree</v>
      </c>
      <c r="Q2259" s="748">
        <f>'Part VIII-Threshold Criteria'!Q211</f>
        <v>0</v>
      </c>
    </row>
    <row r="2260" spans="2:17">
      <c r="C2260" s="748" t="s">
        <v>2765</v>
      </c>
      <c r="D2260" s="748" t="s">
        <v>198</v>
      </c>
      <c r="L2260" s="748" t="s">
        <v>2231</v>
      </c>
      <c r="M2260" s="748" t="str">
        <f>'Part VIII-Threshold Criteria'!M212</f>
        <v>Gazebo</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3061</v>
      </c>
      <c r="C2263" s="748" t="s">
        <v>3791</v>
      </c>
      <c r="O2263" s="748" t="s">
        <v>3061</v>
      </c>
      <c r="P2263" s="748" t="str">
        <f>'Part VIII-Threshold Criteria'!P215</f>
        <v>Agree</v>
      </c>
      <c r="Q2263" s="748">
        <f>'Part VIII-Threshold Criteria'!Q215</f>
        <v>0</v>
      </c>
    </row>
    <row r="2264" spans="2:17">
      <c r="C2264" s="748" t="s">
        <v>4058</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Computer Station</v>
      </c>
      <c r="I2266" s="748">
        <f>'Part VIII-Threshold Criteria'!I218</f>
        <v>0</v>
      </c>
      <c r="J2266" s="748">
        <f>'Part VIII-Threshold Criteria'!J218</f>
        <v>0</v>
      </c>
      <c r="K2266" s="748" t="s">
        <v>2766</v>
      </c>
      <c r="L2266" s="748" t="str">
        <f>'Part VIII-Threshold Criteria'!L218</f>
        <v>Fitness Center</v>
      </c>
      <c r="P2266" s="748">
        <f>'Part VIII-Threshold Criteria'!P218</f>
        <v>0</v>
      </c>
      <c r="Q2266" s="748">
        <f>'Part VIII-Threshold Criteria'!Q218</f>
        <v>0</v>
      </c>
    </row>
    <row r="2267" spans="2:17">
      <c r="C2267" s="748" t="s">
        <v>2765</v>
      </c>
      <c r="D2267" s="748" t="str">
        <f>'Part VIII-Threshold Criteria'!D219</f>
        <v>Equipped Playground</v>
      </c>
      <c r="I2267" s="748">
        <f>'Part VIII-Threshold Criteria'!I219</f>
        <v>0</v>
      </c>
      <c r="J2267" s="748">
        <f>'Part VIII-Threshold Criteria'!J219</f>
        <v>0</v>
      </c>
      <c r="K2267" s="748" t="s">
        <v>3569</v>
      </c>
      <c r="L2267" s="748" t="str">
        <f>'Part VIII-Threshold Criteria'!L219</f>
        <v>Outdoor Seating</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f>'Part VIII-Threshold Criteria'!P227</f>
        <v>0</v>
      </c>
      <c r="Q2275" s="748">
        <f>'Part VIII-Threshold Criteria'!Q227</f>
        <v>0</v>
      </c>
    </row>
    <row r="2277" spans="1:17">
      <c r="B2277" s="748" t="s">
        <v>3210</v>
      </c>
      <c r="C2277" s="748" t="s">
        <v>2344</v>
      </c>
      <c r="O2277" s="748" t="s">
        <v>3210</v>
      </c>
      <c r="P2277" s="748">
        <f>'Part VIII-Threshold Criteria'!P229</f>
        <v>0</v>
      </c>
      <c r="Q2277" s="748">
        <f>'Part VIII-Threshold Criteria'!Q229</f>
        <v>0</v>
      </c>
    </row>
    <row r="2278" spans="1:17">
      <c r="C2278" s="748" t="s">
        <v>2764</v>
      </c>
      <c r="D2278" s="748" t="s">
        <v>1933</v>
      </c>
      <c r="O2278" s="748" t="s">
        <v>2764</v>
      </c>
      <c r="P2278" s="748">
        <f>'Part VIII-Threshold Criteria'!P230</f>
        <v>0</v>
      </c>
      <c r="Q2278" s="748">
        <f>'Part VIII-Threshold Criteria'!Q230</f>
        <v>0</v>
      </c>
    </row>
    <row r="2279" spans="1:17">
      <c r="C2279" s="748" t="s">
        <v>2765</v>
      </c>
      <c r="D2279" s="748" t="s">
        <v>199</v>
      </c>
      <c r="O2279" s="748" t="s">
        <v>2765</v>
      </c>
      <c r="P2279" s="748">
        <f>'Part VIII-Threshold Criteria'!P231</f>
        <v>0</v>
      </c>
      <c r="Q2279" s="748">
        <f>'Part VIII-Threshold Criteria'!Q231</f>
        <v>0</v>
      </c>
    </row>
    <row r="2280" spans="1:17">
      <c r="C2280" s="748" t="s">
        <v>2766</v>
      </c>
      <c r="D2280" s="748" t="s">
        <v>2625</v>
      </c>
      <c r="O2280" s="748" t="s">
        <v>3579</v>
      </c>
      <c r="P2280" s="748">
        <f>'Part VIII-Threshold Criteria'!P232</f>
        <v>0</v>
      </c>
      <c r="Q2280" s="748">
        <f>'Part VIII-Threshold Criteria'!Q232</f>
        <v>0</v>
      </c>
    </row>
    <row r="2281" spans="1:17">
      <c r="D2281" s="748" t="s">
        <v>1984</v>
      </c>
      <c r="O2281" s="748" t="s">
        <v>3580</v>
      </c>
      <c r="P2281" s="748">
        <f>'Part VIII-Threshold Criteria'!P233</f>
        <v>0</v>
      </c>
      <c r="Q2281" s="748">
        <f>'Part VIII-Threshold Criteria'!Q233</f>
        <v>0</v>
      </c>
    </row>
    <row r="2282" spans="1:17">
      <c r="B2282" s="748" t="s">
        <v>2919</v>
      </c>
    </row>
    <row r="2283" spans="1:17">
      <c r="A2283" s="748">
        <f>'Part VIII-Threshold Criteria'!A235</f>
        <v>0</v>
      </c>
    </row>
    <row r="2284" spans="1:17">
      <c r="A2284" s="748">
        <f>'Part VIII-Threshold Criteria'!A236</f>
        <v>0</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1952</v>
      </c>
      <c r="L2291" s="748" t="s">
        <v>3058</v>
      </c>
      <c r="M2291" s="748" t="str">
        <f>'Part VIII-Threshold Criteria'!M243</f>
        <v>&lt;&lt;Select&gt;&gt;</v>
      </c>
      <c r="P2291" s="748" t="str">
        <f>'Part VIII-Threshold Criteria'!P243</f>
        <v>&lt;&lt;Select&gt;&gt;</v>
      </c>
    </row>
    <row r="2292" spans="1:17">
      <c r="B2292" s="748" t="s">
        <v>3061</v>
      </c>
      <c r="C2292" s="748" t="s">
        <v>1921</v>
      </c>
      <c r="L2292" s="748" t="s">
        <v>3061</v>
      </c>
      <c r="M2292" s="748">
        <f>'Part VIII-Threshold Criteria'!M244</f>
        <v>0</v>
      </c>
      <c r="P2292" s="748">
        <f>'Part VIII-Threshold Criteria'!P244</f>
        <v>0</v>
      </c>
    </row>
    <row r="2293" spans="1:17">
      <c r="B2293" s="748" t="s">
        <v>1238</v>
      </c>
      <c r="C2293" s="748" t="s">
        <v>3015</v>
      </c>
      <c r="L2293" s="748" t="s">
        <v>1238</v>
      </c>
      <c r="M2293" s="748">
        <f>'Part VIII-Threshold Criteria'!M245</f>
        <v>0</v>
      </c>
      <c r="P2293" s="748">
        <f>'Part VIII-Threshold Criteria'!P245</f>
        <v>0</v>
      </c>
    </row>
    <row r="2294" spans="1:17">
      <c r="B2294" s="748" t="s">
        <v>3210</v>
      </c>
      <c r="C2294" s="748" t="s">
        <v>3840</v>
      </c>
      <c r="O2294" s="748" t="s">
        <v>3210</v>
      </c>
      <c r="P2294" s="748">
        <f>'Part VIII-Threshold Criteria'!P246</f>
        <v>0</v>
      </c>
      <c r="Q2294" s="748">
        <f>'Part VIII-Threshold Criteria'!Q246</f>
        <v>0</v>
      </c>
    </row>
    <row r="2295" spans="1:17">
      <c r="B2295" s="748" t="s">
        <v>2762</v>
      </c>
      <c r="C2295" s="748" t="s">
        <v>4059</v>
      </c>
      <c r="O2295" s="748" t="s">
        <v>2762</v>
      </c>
      <c r="P2295" s="748">
        <f>'Part VIII-Threshold Criteria'!P247</f>
        <v>0</v>
      </c>
      <c r="Q2295" s="748">
        <f>'Part VIII-Threshold Criteria'!Q247</f>
        <v>0</v>
      </c>
    </row>
    <row r="2296" spans="1:17">
      <c r="B2296" s="748" t="s">
        <v>2919</v>
      </c>
    </row>
    <row r="2297" spans="1:17">
      <c r="A2297" s="748">
        <f>'Part VIII-Threshold Criteria'!A249</f>
        <v>0</v>
      </c>
    </row>
    <row r="2298" spans="1:17">
      <c r="A2298" s="748">
        <f>'Part VIII-Threshold Criteria'!A250</f>
        <v>0</v>
      </c>
    </row>
    <row r="2299" spans="1:17">
      <c r="B2299" s="748" t="s">
        <v>2920</v>
      </c>
    </row>
    <row r="2300" spans="1:17">
      <c r="A2300" s="748">
        <f>'Part VIII-Threshold Criteria'!A252</f>
        <v>0</v>
      </c>
    </row>
    <row r="2301" spans="1:17">
      <c r="A2301" s="748">
        <f>'Part VIII-Threshold Criteria'!A253</f>
        <v>0</v>
      </c>
    </row>
    <row r="2303" spans="1:17">
      <c r="A2303" s="748">
        <v>15</v>
      </c>
      <c r="B2303" s="748" t="s">
        <v>2818</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2113</v>
      </c>
      <c r="O2306" s="748" t="s">
        <v>3061</v>
      </c>
      <c r="P2306" s="748" t="str">
        <f>'Part VIII-Threshold Criteria'!P258</f>
        <v>Yes</v>
      </c>
      <c r="Q2306" s="748">
        <f>'Part VIII-Threshold Criteria'!Q258</f>
        <v>0</v>
      </c>
    </row>
    <row r="2307" spans="1:17">
      <c r="B2307" s="748" t="s">
        <v>2919</v>
      </c>
    </row>
    <row r="2308" spans="1:17">
      <c r="A2308" s="748">
        <f>'Part VIII-Threshold Criteria'!A260</f>
        <v>0</v>
      </c>
    </row>
    <row r="2309" spans="1:17">
      <c r="A2309" s="748">
        <f>'Part VIII-Threshold Criteria'!A261</f>
        <v>0</v>
      </c>
    </row>
    <row r="2310" spans="1:17">
      <c r="B2310" s="748" t="s">
        <v>2920</v>
      </c>
    </row>
    <row r="2311" spans="1:17">
      <c r="A2311" s="748">
        <f>'Part VIII-Threshold Criteria'!A263</f>
        <v>0</v>
      </c>
    </row>
    <row r="2312" spans="1:17">
      <c r="A2312" s="748">
        <f>'Part VIII-Threshold Criteria'!A264</f>
        <v>0</v>
      </c>
    </row>
    <row r="2314" spans="1:17">
      <c r="A2314" s="748">
        <v>16</v>
      </c>
      <c r="B2314" s="748" t="s">
        <v>1089</v>
      </c>
      <c r="O2314" s="748" t="s">
        <v>2921</v>
      </c>
      <c r="P2314" s="748">
        <f>'Part VIII-Threshold Criteria'!P266</f>
        <v>0</v>
      </c>
    </row>
    <row r="2316" spans="1:17" ht="24" customHeight="1">
      <c r="B2316" s="748" t="s">
        <v>3058</v>
      </c>
      <c r="C2316" s="748" t="s">
        <v>1207</v>
      </c>
      <c r="O2316" s="748" t="s">
        <v>3058</v>
      </c>
      <c r="P2316" s="748" t="str">
        <f>'Part VIII-Threshold Criteria'!P268</f>
        <v>Agree</v>
      </c>
      <c r="Q2316" s="748">
        <f>'Part VIII-Threshold Criteria'!Q268</f>
        <v>0</v>
      </c>
    </row>
    <row r="2317" spans="1:17" ht="24" customHeight="1">
      <c r="B2317" s="748" t="s">
        <v>3061</v>
      </c>
      <c r="C2317" s="748" t="s">
        <v>1208</v>
      </c>
      <c r="O2317" s="748" t="s">
        <v>3061</v>
      </c>
      <c r="P2317" s="748" t="str">
        <f>'Part VIII-Threshold Criteria'!P269</f>
        <v>Agree</v>
      </c>
      <c r="Q2317" s="748">
        <f>'Part VIII-Threshold Criteria'!Q269</f>
        <v>0</v>
      </c>
    </row>
    <row r="2318" spans="1:17" ht="33" customHeight="1">
      <c r="B2318" s="748" t="s">
        <v>1238</v>
      </c>
      <c r="C2318" s="748" t="s">
        <v>1209</v>
      </c>
      <c r="O2318" s="748" t="s">
        <v>3061</v>
      </c>
      <c r="P2318" s="748">
        <f>'Part VIII-Threshold Criteria'!P270</f>
        <v>0</v>
      </c>
      <c r="Q2318" s="748">
        <f>'Part VIII-Threshold Criteria'!Q270</f>
        <v>0</v>
      </c>
    </row>
    <row r="2319" spans="1:17">
      <c r="B2319" s="748" t="s">
        <v>2919</v>
      </c>
    </row>
    <row r="2320" spans="1:17">
      <c r="A2320" s="748" t="str">
        <f>'Part VIII-Threshold Criteria'!A272</f>
        <v>As evidenced in tab 29, the project will comply with the Earthcraft Multifamily Program.</v>
      </c>
    </row>
    <row r="2321" spans="1:17">
      <c r="A2321" s="748">
        <f>'Part VIII-Threshold Criteria'!A273</f>
        <v>0</v>
      </c>
    </row>
    <row r="2322" spans="1:17">
      <c r="B2322" s="748" t="s">
        <v>2920</v>
      </c>
    </row>
    <row r="2323" spans="1:17">
      <c r="A2323" s="748">
        <f>'Part VIII-Threshold Criteria'!A275</f>
        <v>0</v>
      </c>
    </row>
    <row r="2324" spans="1:17">
      <c r="A2324" s="748">
        <f>'Part VIII-Threshold Criteria'!A276</f>
        <v>0</v>
      </c>
    </row>
    <row r="2326" spans="1:17">
      <c r="A2326" s="748">
        <v>17</v>
      </c>
      <c r="B2326" s="748" t="s">
        <v>877</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1238</v>
      </c>
      <c r="C2329" s="748" t="s">
        <v>2886</v>
      </c>
      <c r="O2329" s="748" t="s">
        <v>1238</v>
      </c>
      <c r="P2329" s="748" t="str">
        <f>'Part VIII-Threshold Criteria'!P281</f>
        <v>Yes</v>
      </c>
      <c r="Q2329" s="748">
        <f>'Part VIII-Threshold Criteria'!Q281</f>
        <v>0</v>
      </c>
    </row>
    <row r="2330" spans="1:17">
      <c r="B2330" s="748" t="s">
        <v>3210</v>
      </c>
      <c r="C2330" s="748" t="s">
        <v>2887</v>
      </c>
      <c r="O2330" s="748" t="s">
        <v>3210</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2919</v>
      </c>
    </row>
    <row r="2333" spans="1:17">
      <c r="A2333" s="748">
        <f>'Part VIII-Threshold Criteria'!A285</f>
        <v>0</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No</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1081</v>
      </c>
      <c r="O2342" s="748" t="s">
        <v>3058</v>
      </c>
      <c r="P2342" s="748">
        <f>'Part VIII-Threshold Criteria'!P294</f>
        <v>0</v>
      </c>
      <c r="Q2342" s="748">
        <f>'Part VIII-Threshold Criteria'!Q294</f>
        <v>0</v>
      </c>
    </row>
    <row r="2344" spans="1:17">
      <c r="B2344" s="748" t="s">
        <v>3061</v>
      </c>
      <c r="C2344" s="748" t="s">
        <v>674</v>
      </c>
      <c r="O2344" s="748" t="s">
        <v>3061</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15" customHeight="1">
      <c r="C2346" s="748" t="s">
        <v>2765</v>
      </c>
      <c r="D2346" s="748" t="s">
        <v>4060</v>
      </c>
      <c r="G2346" s="748" t="str">
        <f>'Part VIII-Threshold Criteria'!G298</f>
        <v>Addition of decorative elements</v>
      </c>
      <c r="O2346" s="748" t="s">
        <v>2765</v>
      </c>
      <c r="P2346" s="748" t="str">
        <f>'Part VIII-Threshold Criteria'!P298</f>
        <v>Yes</v>
      </c>
      <c r="Q2346" s="748">
        <f>'Part VIII-Threshold Criteria'!Q298</f>
        <v>0</v>
      </c>
    </row>
    <row r="2347" spans="1:17" ht="13.15"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15" customHeight="1">
      <c r="C2348" s="748" t="s">
        <v>2766</v>
      </c>
      <c r="D2348" s="748" t="s">
        <v>1767</v>
      </c>
      <c r="G2348" s="748" t="str">
        <f>'Part VIII-Threshold Criteria'!G300</f>
        <v>Fiber cement siding, hard stucco and/or wood siding will be installed on all exterior wall surfaces not already required to be brick</v>
      </c>
      <c r="O2348" s="748" t="s">
        <v>2766</v>
      </c>
      <c r="P2348" s="748" t="str">
        <f>'Part VIII-Threshold Criteria'!P300</f>
        <v>Yes</v>
      </c>
      <c r="Q2348" s="748">
        <f>'Part VIII-Threshold Criteria'!Q300</f>
        <v>0</v>
      </c>
    </row>
    <row r="2349" spans="1:17" ht="13.15" customHeight="1">
      <c r="C2349" s="748" t="s">
        <v>3569</v>
      </c>
      <c r="D2349" s="748" t="s">
        <v>4061</v>
      </c>
      <c r="G2349" s="748" t="str">
        <f>'Part VIII-Threshold Criteria'!G301</f>
        <v>Substantial replanting of trees and integrated vegetation</v>
      </c>
      <c r="O2349" s="748" t="s">
        <v>3569</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2919</v>
      </c>
    </row>
    <row r="2353" spans="1:17">
      <c r="A2353" s="748" t="str">
        <f>'Part VIII-Threshold Criteria'!A305</f>
        <v>As evidenced in tab 29, the project will comply with the Earthcraft Multifamily Program.</v>
      </c>
    </row>
    <row r="2354" spans="1:17">
      <c r="A2354" s="748">
        <f>'Part VIII-Threshold Criteria'!A306</f>
        <v>0</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924</v>
      </c>
      <c r="L2363" s="748" t="str">
        <f>'Part VIII-Threshold Criteria'!L315</f>
        <v>Qualified with Conditions</v>
      </c>
      <c r="P2363" s="748" t="str">
        <f>'Part VIII-Threshold Criteria'!P315</f>
        <v>Yes</v>
      </c>
      <c r="Q2363" s="748">
        <f>'Part VIII-Threshold Criteria'!Q315</f>
        <v>0</v>
      </c>
    </row>
    <row r="2364" spans="1:17">
      <c r="B2364" s="748" t="s">
        <v>3514</v>
      </c>
      <c r="L2364" s="748">
        <f>'Part VIII-Threshold Criteria'!L316</f>
        <v>0</v>
      </c>
    </row>
    <row r="2366" spans="1:17">
      <c r="B2366" s="748" t="s">
        <v>2919</v>
      </c>
    </row>
    <row r="2367" spans="1:17">
      <c r="A2367" s="748" t="str">
        <f>'Part VIII-Threshold Criteria'!A319</f>
        <v xml:space="preserve">Water Tower Park Apartments was not identified in the May 12 qualification determination submission to the DCA, therefore an update is being presented with project specific information for </v>
      </c>
    </row>
    <row r="2368" spans="1:17">
      <c r="A2368" s="748" t="str">
        <f>'Part VIII-Threshold Criteria'!A320</f>
        <v>Water Tower Park Apartments in this application.  The proposed project team was deemed qualified subject to the condition of submittal and approval of project specific information.</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2921</v>
      </c>
      <c r="P2375" s="748">
        <f>'Part VIII-Threshold Criteria'!P327</f>
        <v>0</v>
      </c>
    </row>
    <row r="2377" spans="1:17">
      <c r="B2377" s="748" t="s">
        <v>3058</v>
      </c>
      <c r="C2377" s="748" t="s">
        <v>2543</v>
      </c>
      <c r="O2377" s="748" t="s">
        <v>3058</v>
      </c>
      <c r="P2377" s="748" t="str">
        <f>'Part VIII-Threshold Criteria'!P329</f>
        <v>Yes</v>
      </c>
      <c r="Q2377" s="748">
        <f>'Part VIII-Threshold Criteria'!Q329</f>
        <v>0</v>
      </c>
    </row>
    <row r="2378" spans="1:17">
      <c r="B2378" s="748" t="s">
        <v>3061</v>
      </c>
      <c r="C2378" s="748" t="s">
        <v>356</v>
      </c>
      <c r="O2378" s="748" t="s">
        <v>3061</v>
      </c>
      <c r="P2378" s="748" t="str">
        <f>'Part VIII-Threshold Criteria'!P330</f>
        <v>No</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3210</v>
      </c>
      <c r="C2380" s="748" t="s">
        <v>1058</v>
      </c>
      <c r="O2380" s="748" t="s">
        <v>3210</v>
      </c>
      <c r="P2380" s="748" t="str">
        <f>'Part VIII-Threshold Criteria'!P332</f>
        <v>Yes</v>
      </c>
      <c r="Q2380" s="748">
        <f>'Part VIII-Threshold Criteria'!Q332</f>
        <v>0</v>
      </c>
    </row>
    <row r="2381" spans="1:17">
      <c r="B2381" s="748" t="s">
        <v>2919</v>
      </c>
    </row>
    <row r="2382" spans="1:17">
      <c r="A2382" s="748" t="str">
        <f>'Part VIII-Threshold Criteria'!A334</f>
        <v xml:space="preserve">The DCA has confirmed receipt of the uniform release forms from KY, TN, NC, &amp; IN as of June 8, 2011.  The development team has contacted the other states that had yet to send in </v>
      </c>
    </row>
    <row r="2383" spans="1:17">
      <c r="A2383" s="748" t="str">
        <f>'Part VIII-Threshold Criteria'!A335</f>
        <v>the uniform release forms, which were PA, IA, MI, &amp; OH.  These remaining release forms should either be in transit or received by the DCA at this time.</v>
      </c>
    </row>
    <row r="2385" spans="1:17">
      <c r="B2385" s="748" t="s">
        <v>2920</v>
      </c>
    </row>
    <row r="2386" spans="1:17">
      <c r="A2386" s="748">
        <f>'Part VIII-Threshold Criteria'!A338</f>
        <v>0</v>
      </c>
    </row>
    <row r="2387" spans="1:17">
      <c r="A2387" s="748">
        <f>'Part VIII-Threshold Criteria'!A339</f>
        <v>0</v>
      </c>
    </row>
    <row r="2389" spans="1:17">
      <c r="A2389" s="748">
        <v>21</v>
      </c>
      <c r="B2389" s="748" t="s">
        <v>1553</v>
      </c>
      <c r="O2389" s="748" t="s">
        <v>2921</v>
      </c>
      <c r="P2389" s="748">
        <f>'Part VIII-Threshold Criteria'!P341</f>
        <v>0</v>
      </c>
    </row>
    <row r="2390" spans="1:17">
      <c r="B2390" s="748" t="s">
        <v>3058</v>
      </c>
      <c r="C2390" s="748" t="s">
        <v>2083</v>
      </c>
      <c r="J2390" s="748" t="s">
        <v>3058</v>
      </c>
      <c r="K2390" s="748">
        <f>'Part VIII-Threshold Criteria'!K342</f>
        <v>0</v>
      </c>
      <c r="P2390" s="748" t="str">
        <f>'Part VIII-Threshold Criteria'!P342</f>
        <v>No</v>
      </c>
      <c r="Q2390" s="748">
        <f>'Part VIII-Threshold Criteria'!Q342</f>
        <v>0</v>
      </c>
    </row>
    <row r="2391" spans="1:17">
      <c r="B2391" s="748" t="s">
        <v>3061</v>
      </c>
      <c r="C2391" s="748" t="s">
        <v>2905</v>
      </c>
      <c r="O2391" s="748" t="s">
        <v>3061</v>
      </c>
      <c r="P2391" s="748">
        <f>'Part VIII-Threshold Criteria'!P343</f>
        <v>0</v>
      </c>
      <c r="Q2391" s="748">
        <f>'Part VIII-Threshold Criteria'!Q343</f>
        <v>0</v>
      </c>
    </row>
    <row r="2392" spans="1:17">
      <c r="B2392" s="748" t="s">
        <v>1238</v>
      </c>
      <c r="C2392" s="748" t="s">
        <v>1554</v>
      </c>
      <c r="O2392" s="748" t="s">
        <v>1238</v>
      </c>
      <c r="P2392" s="748">
        <f>'Part VIII-Threshold Criteria'!P344</f>
        <v>0</v>
      </c>
      <c r="Q2392" s="748">
        <f>'Part VIII-Threshold Criteria'!Q344</f>
        <v>0</v>
      </c>
    </row>
    <row r="2393" spans="1:17">
      <c r="B2393" s="748" t="s">
        <v>3210</v>
      </c>
      <c r="C2393" s="748" t="s">
        <v>355</v>
      </c>
      <c r="O2393" s="748" t="s">
        <v>3210</v>
      </c>
      <c r="P2393" s="748">
        <f>'Part VIII-Threshold Criteria'!P345</f>
        <v>0</v>
      </c>
      <c r="Q2393" s="748">
        <f>'Part VIII-Threshold Criteria'!Q345</f>
        <v>0</v>
      </c>
    </row>
    <row r="2394" spans="1:17">
      <c r="B2394" s="748" t="s">
        <v>2762</v>
      </c>
      <c r="C2394" s="748" t="s">
        <v>429</v>
      </c>
      <c r="O2394" s="748" t="s">
        <v>2762</v>
      </c>
      <c r="P2394" s="748">
        <f>'Part VIII-Threshold Criteria'!P346</f>
        <v>0</v>
      </c>
      <c r="Q2394" s="748">
        <f>'Part VIII-Threshold Criteria'!Q346</f>
        <v>0</v>
      </c>
    </row>
    <row r="2395" spans="1:17">
      <c r="B2395" s="748" t="s">
        <v>2763</v>
      </c>
      <c r="C2395" s="748" t="s">
        <v>1985</v>
      </c>
      <c r="O2395" s="748" t="s">
        <v>2763</v>
      </c>
      <c r="P2395" s="748">
        <f>'Part VIII-Threshold Criteria'!P347</f>
        <v>0</v>
      </c>
      <c r="Q2395" s="748">
        <f>'Part VIII-Threshold Criteria'!Q347</f>
        <v>0</v>
      </c>
    </row>
    <row r="2396" spans="1:17">
      <c r="B2396" s="748" t="s">
        <v>2919</v>
      </c>
    </row>
    <row r="2397" spans="1:17">
      <c r="A2397" s="748">
        <f>'Part VIII-Threshold Criteria'!A349</f>
        <v>0</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1657</v>
      </c>
      <c r="J2402" s="748" t="s">
        <v>3058</v>
      </c>
      <c r="K2402" s="748">
        <f>'Part VIII-Threshold Criteria'!K354</f>
        <v>0</v>
      </c>
      <c r="P2402" s="748" t="str">
        <f>'Part VIII-Threshold Criteria'!P354</f>
        <v>No</v>
      </c>
      <c r="Q2402" s="748">
        <f>'Part VIII-Threshold Criteria'!Q354</f>
        <v>0</v>
      </c>
    </row>
    <row r="2403" spans="1:17">
      <c r="B2403" s="748" t="s">
        <v>3061</v>
      </c>
      <c r="C2403" s="748" t="s">
        <v>2767</v>
      </c>
      <c r="O2403" s="748" t="s">
        <v>3061</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3018</v>
      </c>
      <c r="C2408" s="748" t="s">
        <v>851</v>
      </c>
      <c r="O2408" s="748" t="s">
        <v>3018</v>
      </c>
      <c r="P2408" s="748">
        <f>'Part VIII-Threshold Criteria'!P360</f>
        <v>0</v>
      </c>
      <c r="Q2408" s="748">
        <f>'Part VIII-Threshold Criteria'!Q360</f>
        <v>0</v>
      </c>
    </row>
    <row r="2409" spans="1:17">
      <c r="B2409" s="748" t="s">
        <v>2919</v>
      </c>
    </row>
    <row r="2410" spans="1:17">
      <c r="A2410" s="748">
        <f>'Part VIII-Threshold Criteria'!A362</f>
        <v>0</v>
      </c>
    </row>
    <row r="2411" spans="1:17">
      <c r="B2411" s="748" t="s">
        <v>2920</v>
      </c>
    </row>
    <row r="2412" spans="1:17">
      <c r="A2412" s="748">
        <f>'Part VIII-Threshold Criteria'!A364</f>
        <v>0</v>
      </c>
    </row>
    <row r="2414" spans="1:17">
      <c r="A2414" s="748">
        <v>23</v>
      </c>
      <c r="B2414" s="748" t="s">
        <v>1082</v>
      </c>
      <c r="O2414" s="748" t="s">
        <v>2921</v>
      </c>
      <c r="P2414" s="748">
        <f>'Part VIII-Threshold Criteria'!P366</f>
        <v>0</v>
      </c>
    </row>
    <row r="2415" spans="1:17">
      <c r="B2415" s="748" t="s">
        <v>3058</v>
      </c>
      <c r="C2415" s="748" t="s">
        <v>4062</v>
      </c>
      <c r="M2415" s="748" t="s">
        <v>3058</v>
      </c>
      <c r="N2415" s="748" t="str">
        <f>'Part VIII-Threshold Criteria'!N367</f>
        <v>Non-minority</v>
      </c>
      <c r="P2415" s="748" t="str">
        <f>'Part VIII-Threshold Criteria'!P367</f>
        <v>&lt;&lt;Select&gt;&gt;</v>
      </c>
    </row>
    <row r="2416" spans="1:17">
      <c r="B2416" s="748" t="s">
        <v>3061</v>
      </c>
      <c r="C2416" s="748" t="s">
        <v>2</v>
      </c>
      <c r="G2416" s="748" t="s">
        <v>3061</v>
      </c>
      <c r="H2416" s="748" t="str">
        <f>'Part VIII-Threshold Criteria'!H368</f>
        <v>302, 303.02, 301.02, 301.01</v>
      </c>
      <c r="P2416" s="748">
        <f>'Part VIII-Threshold Criteria'!P368</f>
        <v>0</v>
      </c>
      <c r="Q2416" s="748">
        <f>'Part VIII-Threshold Criteria'!Q368</f>
        <v>0</v>
      </c>
    </row>
    <row r="2417" spans="1:17">
      <c r="B2417" s="748" t="s">
        <v>1238</v>
      </c>
      <c r="C2417" s="748" t="s">
        <v>2125</v>
      </c>
      <c r="O2417" s="748" t="s">
        <v>1238</v>
      </c>
      <c r="P2417" s="748" t="str">
        <f>'Part VIII-Threshold Criteria'!P369</f>
        <v>No</v>
      </c>
      <c r="Q2417" s="748">
        <f>'Part VIII-Threshold Criteria'!Q369</f>
        <v>0</v>
      </c>
    </row>
    <row r="2418" spans="1:17">
      <c r="B2418" s="748" t="s">
        <v>2919</v>
      </c>
    </row>
    <row r="2419" spans="1:17">
      <c r="A2419" s="748">
        <f>'Part VIII-Threshold Criteria'!A371</f>
        <v>0</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2529</v>
      </c>
      <c r="F2426" s="748" t="s">
        <v>1057</v>
      </c>
      <c r="O2426" s="748" t="s">
        <v>2921</v>
      </c>
      <c r="P2426" s="748">
        <f>'Part VIII-Threshold Criteria'!P378</f>
        <v>0</v>
      </c>
    </row>
    <row r="2427" spans="1:17">
      <c r="B2427" s="748" t="s">
        <v>3058</v>
      </c>
      <c r="C2427" s="748" t="s">
        <v>2126</v>
      </c>
      <c r="O2427" s="748" t="s">
        <v>3058</v>
      </c>
      <c r="P2427" s="748" t="str">
        <f>'Part VIII-Threshold Criteria'!P379</f>
        <v>No</v>
      </c>
      <c r="Q2427" s="748">
        <f>'Part VIII-Threshold Criteria'!Q379</f>
        <v>0</v>
      </c>
    </row>
    <row r="2428" spans="1:17">
      <c r="B2428" s="748" t="s">
        <v>3061</v>
      </c>
      <c r="C2428" s="748" t="s">
        <v>1241</v>
      </c>
      <c r="O2428" s="748" t="s">
        <v>3061</v>
      </c>
      <c r="P2428" s="748" t="str">
        <f>'Part VIII-Threshold Criteria'!P380</f>
        <v>No</v>
      </c>
      <c r="Q2428" s="748">
        <f>'Part VIII-Threshold Criteria'!Q380</f>
        <v>0</v>
      </c>
    </row>
    <row r="2429" spans="1:17">
      <c r="B2429" s="748" t="s">
        <v>1238</v>
      </c>
      <c r="C2429" s="748" t="s">
        <v>1242</v>
      </c>
      <c r="O2429" s="748" t="s">
        <v>1238</v>
      </c>
      <c r="P2429" s="748" t="str">
        <f>'Part VIII-Threshold Criteria'!P381</f>
        <v>No</v>
      </c>
      <c r="Q2429" s="748">
        <f>'Part VIII-Threshold Criteria'!Q381</f>
        <v>0</v>
      </c>
    </row>
    <row r="2430" spans="1:17">
      <c r="B2430" s="748" t="s">
        <v>3210</v>
      </c>
      <c r="C2430" s="748" t="s">
        <v>877</v>
      </c>
      <c r="O2430" s="748" t="s">
        <v>3210</v>
      </c>
      <c r="P2430" s="748" t="str">
        <f>'Part VIII-Threshold Criteria'!P382</f>
        <v>No</v>
      </c>
      <c r="Q2430" s="748">
        <f>'Part VIII-Threshold Criteria'!Q382</f>
        <v>0</v>
      </c>
    </row>
    <row r="2431" spans="1:17">
      <c r="B2431" s="748" t="s">
        <v>2762</v>
      </c>
      <c r="C2431" s="748" t="s">
        <v>3173</v>
      </c>
      <c r="G2431" s="748" t="s">
        <v>2762</v>
      </c>
      <c r="H2431" s="748">
        <f>'Part VIII-Threshold Criteria'!H383</f>
        <v>0</v>
      </c>
      <c r="P2431" s="748" t="str">
        <f>'Part VIII-Threshold Criteria'!P383</f>
        <v>No</v>
      </c>
      <c r="Q2431" s="748">
        <f>'Part VIII-Threshold Criteria'!Q383</f>
        <v>0</v>
      </c>
    </row>
    <row r="2432" spans="1:17">
      <c r="B2432" s="748" t="s">
        <v>2919</v>
      </c>
    </row>
    <row r="2433" spans="1:17">
      <c r="A2433" s="748">
        <f>'Part VIII-Threshold Criteria'!A385</f>
        <v>0</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4063</v>
      </c>
      <c r="O2438" s="748" t="s">
        <v>3058</v>
      </c>
      <c r="P2438" s="748" t="str">
        <f>'Part VIII-Threshold Criteria'!P390</f>
        <v>Agree</v>
      </c>
      <c r="Q2438" s="748">
        <f>'Part VIII-Threshold Criteria'!Q390</f>
        <v>0</v>
      </c>
    </row>
    <row r="2439" spans="1:17">
      <c r="B2439" s="748" t="s">
        <v>3061</v>
      </c>
      <c r="C2439" s="748" t="s">
        <v>852</v>
      </c>
      <c r="O2439" s="748" t="s">
        <v>3061</v>
      </c>
      <c r="P2439" s="748" t="str">
        <f>'Part VIII-Threshold Criteria'!P391</f>
        <v>N/a</v>
      </c>
      <c r="Q2439" s="748">
        <f>'Part VIII-Threshold Criteria'!Q391</f>
        <v>0</v>
      </c>
    </row>
    <row r="2440" spans="1:17">
      <c r="B2440" s="748" t="s">
        <v>2919</v>
      </c>
      <c r="K2440" s="748" t="s">
        <v>2920</v>
      </c>
    </row>
    <row r="2441" spans="1:17">
      <c r="A2441" s="748">
        <f>'Part VIII-Threshold Criteria'!A393</f>
        <v>0</v>
      </c>
      <c r="K2441" s="748">
        <f>'Part VIII-Threshold Criteria'!K393</f>
        <v>0</v>
      </c>
    </row>
    <row r="2443" spans="1:17">
      <c r="A2443" s="748">
        <v>26</v>
      </c>
      <c r="B2443" s="748" t="s">
        <v>2004</v>
      </c>
      <c r="O2443" s="748" t="s">
        <v>2921</v>
      </c>
      <c r="P2443" s="748">
        <f>'Part VIII-Threshold Criteria'!P395</f>
        <v>0</v>
      </c>
    </row>
    <row r="2444" spans="1:17">
      <c r="B2444" s="748" t="s">
        <v>3058</v>
      </c>
      <c r="C2444" s="748" t="s">
        <v>1243</v>
      </c>
      <c r="O2444" s="748" t="s">
        <v>3058</v>
      </c>
      <c r="P2444" s="748" t="str">
        <f>'Part VIII-Threshold Criteria'!P396</f>
        <v>No</v>
      </c>
      <c r="Q2444" s="748">
        <f>'Part VIII-Threshold Criteria'!Q396</f>
        <v>0</v>
      </c>
    </row>
    <row r="2445" spans="1:17">
      <c r="B2445" s="748" t="s">
        <v>3061</v>
      </c>
      <c r="C2445" s="748" t="s">
        <v>3312</v>
      </c>
      <c r="O2445" s="748" t="s">
        <v>2170</v>
      </c>
      <c r="P2445" s="748" t="str">
        <f>'Part VIII-Threshold Criteria'!P397</f>
        <v>No</v>
      </c>
      <c r="Q2445" s="748">
        <f>'Part VIII-Threshold Criteria'!Q397</f>
        <v>0</v>
      </c>
    </row>
    <row r="2446" spans="1:17">
      <c r="C2446" s="748" t="s">
        <v>2226</v>
      </c>
    </row>
    <row r="2447" spans="1:17">
      <c r="C2447" s="748" t="s">
        <v>3313</v>
      </c>
      <c r="O2447" s="748" t="s">
        <v>2765</v>
      </c>
      <c r="P2447" s="748">
        <f>'Part VIII-Threshold Criteria'!P399</f>
        <v>0</v>
      </c>
      <c r="Q2447" s="748">
        <f>'Part VIII-Threshold Criteria'!Q399</f>
        <v>0</v>
      </c>
    </row>
    <row r="2448" spans="1:17">
      <c r="B2448" s="748" t="s">
        <v>1238</v>
      </c>
      <c r="C2448" s="748" t="s">
        <v>3311</v>
      </c>
      <c r="O2448" s="748" t="s">
        <v>1238</v>
      </c>
      <c r="P2448" s="748">
        <f>'Part VIII-Threshold Criteria'!P400</f>
        <v>0</v>
      </c>
      <c r="Q2448" s="748">
        <f>'Part VIII-Threshold Criteria'!Q400</f>
        <v>0</v>
      </c>
    </row>
    <row r="2449" spans="1:17">
      <c r="B2449" s="748" t="s">
        <v>3210</v>
      </c>
      <c r="C2449" s="748" t="s">
        <v>151</v>
      </c>
      <c r="O2449" s="748" t="s">
        <v>3210</v>
      </c>
    </row>
    <row r="2450" spans="1:17">
      <c r="C2450" s="748" t="s">
        <v>3314</v>
      </c>
      <c r="O2450" s="748" t="s">
        <v>2764</v>
      </c>
      <c r="P2450" s="748">
        <f>'Part VIII-Threshold Criteria'!P402</f>
        <v>0</v>
      </c>
      <c r="Q2450" s="748" t="str">
        <f>'Part VIII-Threshold Criteria'!Q402</f>
        <v xml:space="preserve"> </v>
      </c>
    </row>
    <row r="2451" spans="1:17">
      <c r="C2451" s="748" t="s">
        <v>3315</v>
      </c>
      <c r="O2451" s="748" t="s">
        <v>2765</v>
      </c>
      <c r="P2451" s="748">
        <f>'Part VIII-Threshold Criteria'!P403</f>
        <v>0</v>
      </c>
      <c r="Q2451" s="748">
        <f>'Part VIII-Threshold Criteria'!Q403</f>
        <v>0</v>
      </c>
    </row>
    <row r="2452" spans="1:17">
      <c r="C2452" s="748" t="s">
        <v>3316</v>
      </c>
      <c r="O2452" s="748" t="s">
        <v>2766</v>
      </c>
      <c r="P2452" s="748">
        <f>'Part VIII-Threshold Criteria'!P404</f>
        <v>0</v>
      </c>
      <c r="Q2452" s="748" t="str">
        <f>'Part VIII-Threshold Criteria'!Q404</f>
        <v xml:space="preserve"> </v>
      </c>
    </row>
    <row r="2453" spans="1:17">
      <c r="C2453" s="748" t="s">
        <v>3317</v>
      </c>
      <c r="O2453" s="748" t="s">
        <v>3569</v>
      </c>
      <c r="P2453" s="748">
        <f>'Part VIII-Threshold Criteria'!P405</f>
        <v>0</v>
      </c>
      <c r="Q2453" s="748" t="str">
        <f>'Part VIII-Threshold Criteria'!Q405</f>
        <v xml:space="preserve"> </v>
      </c>
    </row>
    <row r="2454" spans="1:17">
      <c r="C2454" s="748" t="s">
        <v>3318</v>
      </c>
      <c r="O2454" s="748" t="s">
        <v>2303</v>
      </c>
      <c r="P2454" s="748">
        <f>'Part VIII-Threshold Criteria'!P406</f>
        <v>0</v>
      </c>
      <c r="Q2454" s="748" t="str">
        <f>'Part VIII-Threshold Criteria'!Q406</f>
        <v xml:space="preserve"> </v>
      </c>
    </row>
    <row r="2455" spans="1:17">
      <c r="B2455" s="748" t="s">
        <v>2762</v>
      </c>
      <c r="C2455" s="748" t="s">
        <v>3612</v>
      </c>
      <c r="O2455" s="748" t="s">
        <v>2762</v>
      </c>
    </row>
    <row r="2456" spans="1:17">
      <c r="C2456" s="748" t="s">
        <v>3319</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3382</v>
      </c>
      <c r="G2459" s="748" t="s">
        <v>3569</v>
      </c>
      <c r="H2459" s="748">
        <f>'Part VIII-Threshold Criteria'!H411</f>
        <v>0</v>
      </c>
      <c r="P2459" s="748">
        <f>'Part VIII-Threshold Criteria'!P411</f>
        <v>0</v>
      </c>
      <c r="Q2459" s="748">
        <f>'Part VIII-Threshold Criteria'!Q411</f>
        <v>0</v>
      </c>
    </row>
    <row r="2460" spans="1:17">
      <c r="B2460" s="748" t="s">
        <v>2919</v>
      </c>
    </row>
    <row r="2461" spans="1:17">
      <c r="A2461" s="748">
        <f>'Part VIII-Threshold Criteria'!A413</f>
        <v>0</v>
      </c>
    </row>
    <row r="2462" spans="1:17">
      <c r="A2462" s="748">
        <f>'Part VIII-Threshold Criteria'!A414</f>
        <v>0</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887</v>
      </c>
      <c r="O2469" s="748" t="s">
        <v>3058</v>
      </c>
      <c r="P2469" s="748" t="str">
        <f>'Part VIII-Threshold Criteria'!P421</f>
        <v>Agree</v>
      </c>
      <c r="Q2469" s="748">
        <f>'Part VIII-Threshold Criteria'!Q421</f>
        <v>0</v>
      </c>
    </row>
    <row r="2470" spans="1:17">
      <c r="B2470" s="748" t="s">
        <v>3061</v>
      </c>
      <c r="C2470" s="748" t="s">
        <v>888</v>
      </c>
      <c r="O2470" s="748" t="s">
        <v>3061</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2919</v>
      </c>
    </row>
    <row r="2473" spans="1:17">
      <c r="A2473" s="748" t="str">
        <f>'Part VIII-Threshold Criteria'!A425</f>
        <v>The project team will market units to special needs tenants and the appropriate plan(s) will be submitted prior to the issuance of 8609's.</v>
      </c>
    </row>
    <row r="2474" spans="1:17">
      <c r="A2474" s="748">
        <f>'Part VIII-Threshold Criteria'!A426</f>
        <v>0</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2921</v>
      </c>
      <c r="P2481" s="748">
        <f>'Part VIII-Threshold Criteria'!P433</f>
        <v>0</v>
      </c>
    </row>
    <row r="2482" spans="1:16">
      <c r="B2482" s="748" t="s">
        <v>2919</v>
      </c>
    </row>
    <row r="2483" spans="1:16">
      <c r="A2483" s="748">
        <f>'Part VIII-Threshold Criteria'!A435</f>
        <v>0</v>
      </c>
    </row>
    <row r="2484" spans="1:16">
      <c r="A2484" s="748">
        <f>'Part VIII-Threshold Criteria'!A436</f>
        <v>0</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2011-030 Water Tower Park Apartments, ,  County</v>
      </c>
    </row>
    <row r="2495" spans="1:16">
      <c r="M2495" s="748" t="s">
        <v>3335</v>
      </c>
      <c r="O2495" s="748" t="s">
        <v>3334</v>
      </c>
      <c r="P2495" s="748" t="s">
        <v>334</v>
      </c>
    </row>
    <row r="2496" spans="1:16">
      <c r="M2496" s="748" t="s">
        <v>104</v>
      </c>
      <c r="O2496" s="748" t="s">
        <v>3335</v>
      </c>
      <c r="P2496" s="748" t="s">
        <v>3335</v>
      </c>
    </row>
    <row r="2498" spans="1:17">
      <c r="L2498" s="748" t="s">
        <v>1887</v>
      </c>
      <c r="M2498" s="748">
        <v>108</v>
      </c>
      <c r="O2498" s="748">
        <f>O2786</f>
        <v>58</v>
      </c>
      <c r="P2498" s="748">
        <f>P2786</f>
        <v>13</v>
      </c>
    </row>
    <row r="2500" spans="1:17">
      <c r="A2500" s="748" t="s">
        <v>3062</v>
      </c>
      <c r="B2500" s="748" t="s">
        <v>1671</v>
      </c>
      <c r="H2500" s="748" t="s">
        <v>2523</v>
      </c>
      <c r="M2500" s="748">
        <v>10</v>
      </c>
      <c r="O2500" s="748">
        <f>MIN($M2500, $M2500-O2502-O2503-O2504)</f>
        <v>10</v>
      </c>
      <c r="P2500" s="748">
        <f>MIN($M2500, $M2500-P2502-P2503-P2504)</f>
        <v>10</v>
      </c>
      <c r="Q2500" s="748" t="s">
        <v>651</v>
      </c>
    </row>
    <row r="2502" spans="1:17">
      <c r="A2502" s="748" t="s">
        <v>3058</v>
      </c>
      <c r="B2502" s="748" t="s">
        <v>2922</v>
      </c>
      <c r="F2502" s="748" t="s">
        <v>3893</v>
      </c>
      <c r="G2502" s="748">
        <f>F2509</f>
        <v>0</v>
      </c>
      <c r="H2502" s="748" t="s">
        <v>321</v>
      </c>
      <c r="M2502" s="748">
        <v>7</v>
      </c>
      <c r="N2502" s="748" t="s">
        <v>3058</v>
      </c>
      <c r="O2502" s="748">
        <f>'Part IX A-Scoring Criteria'!O10</f>
        <v>0</v>
      </c>
      <c r="P2502" s="748">
        <f>'Part IX A-Scoring Criteria'!P10</f>
        <v>0</v>
      </c>
    </row>
    <row r="2503" spans="1:17">
      <c r="A2503" s="748" t="s">
        <v>3061</v>
      </c>
      <c r="B2503" s="748" t="s">
        <v>1215</v>
      </c>
      <c r="F2503" s="748" t="s">
        <v>3893</v>
      </c>
      <c r="G2503" s="748">
        <f>K2509</f>
        <v>0</v>
      </c>
      <c r="H2503" s="748" t="s">
        <v>4064</v>
      </c>
      <c r="M2503" s="748">
        <v>0</v>
      </c>
      <c r="N2503" s="748" t="s">
        <v>3061</v>
      </c>
      <c r="O2503" s="748">
        <f>'Part IX A-Scoring Criteria'!O11</f>
        <v>0</v>
      </c>
      <c r="P2503" s="748">
        <f>'Part IX A-Scoring Criteria'!P11</f>
        <v>0</v>
      </c>
    </row>
    <row r="2504" spans="1:17">
      <c r="A2504" s="748" t="s">
        <v>1238</v>
      </c>
      <c r="B2504" s="748" t="s">
        <v>3208</v>
      </c>
      <c r="F2504" s="748" t="s">
        <v>3893</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f>'Part IX A-Scoring Criteria'!A14</f>
        <v>0</v>
      </c>
      <c r="Q2506" s="748" t="s">
        <v>1932</v>
      </c>
    </row>
    <row r="2507" spans="1:17" ht="13.15" customHeight="1">
      <c r="A2507" s="748">
        <f>'Part IX A-Scoring Criteria'!A15</f>
        <v>0</v>
      </c>
    </row>
    <row r="2508" spans="1:17" ht="13.15" customHeight="1">
      <c r="A2508" s="748" t="s">
        <v>2920</v>
      </c>
      <c r="F2508" s="748" t="s">
        <v>2739</v>
      </c>
      <c r="K2508" s="748" t="s">
        <v>2739</v>
      </c>
      <c r="P2508" s="748" t="s">
        <v>2739</v>
      </c>
    </row>
    <row r="2509" spans="1:17">
      <c r="A2509" s="748" t="s">
        <v>3637</v>
      </c>
      <c r="E2509" s="748" t="s">
        <v>785</v>
      </c>
      <c r="F2509" s="748">
        <f>SUM(F2510:F2521)</f>
        <v>0</v>
      </c>
      <c r="G2509" s="748" t="s">
        <v>3638</v>
      </c>
      <c r="J2509" s="748" t="s">
        <v>785</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8</v>
      </c>
      <c r="L2524" s="748" t="s">
        <v>1939</v>
      </c>
      <c r="M2524" s="748">
        <f>IF(OR('Part VI-Revenues &amp; Expenses'!$M$61="", 'Part VI-Revenues &amp; Expenses'!$M$61=0),"",J2524/'Part VI-Revenues &amp; Expenses'!$M$61)</f>
        <v>0.16666666666666666</v>
      </c>
    </row>
    <row r="2525" spans="1:18">
      <c r="B2525" s="748" t="s">
        <v>333</v>
      </c>
    </row>
    <row r="2526" spans="1:18">
      <c r="A2526" s="748">
        <f>'Part IX A-Scoring Criteria'!A34</f>
        <v>0</v>
      </c>
    </row>
    <row r="2527" spans="1:18">
      <c r="B2527" s="748" t="s">
        <v>2920</v>
      </c>
    </row>
    <row r="2528" spans="1:18">
      <c r="A2528" s="748">
        <f>'Part IX A-Scoring Criteria'!A36</f>
        <v>0</v>
      </c>
    </row>
    <row r="2530" spans="1:17">
      <c r="A2530" s="748" t="s">
        <v>3821</v>
      </c>
      <c r="B2530" s="748" t="s">
        <v>2928</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3058</v>
      </c>
      <c r="B2533" s="748" t="s">
        <v>2930</v>
      </c>
      <c r="E2533" s="748" t="s">
        <v>2933</v>
      </c>
      <c r="G2533" s="748" t="s">
        <v>2929</v>
      </c>
      <c r="L2533" s="748">
        <f>'Part IX A-Scoring Criteria'!L41</f>
        <v>0</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2</v>
      </c>
      <c r="P2534" s="748">
        <f>'Part IX A-Scoring Criteria'!P42</f>
        <v>0</v>
      </c>
    </row>
    <row r="2535" spans="1:17">
      <c r="A2535" s="748" t="s">
        <v>1238</v>
      </c>
      <c r="B2535" s="748" t="s">
        <v>2932</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f>'Part IX A-Scoring Criteria'!A46</f>
        <v>0</v>
      </c>
      <c r="Q2538" s="748" t="s">
        <v>1932</v>
      </c>
    </row>
    <row r="2539" spans="1:17" ht="13.15" customHeight="1">
      <c r="A2539" s="748">
        <f>'Part IX A-Scoring Criteria'!A47</f>
        <v>0</v>
      </c>
    </row>
    <row r="2540" spans="1:17" ht="13.15" customHeight="1">
      <c r="A2540" s="748">
        <f>'Part IX A-Scoring Criteria'!A48</f>
        <v>0</v>
      </c>
    </row>
    <row r="2541" spans="1:17">
      <c r="B2541" s="748" t="s">
        <v>2920</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2939</v>
      </c>
      <c r="M2547" s="748">
        <v>2</v>
      </c>
      <c r="O2547" s="748">
        <f>MIN($M2547,(O2548+O2549))</f>
        <v>1</v>
      </c>
      <c r="P2547" s="748">
        <f>MIN($M2547,(P2548+P2549))</f>
        <v>0</v>
      </c>
      <c r="Q2547" s="748" t="s">
        <v>651</v>
      </c>
    </row>
    <row r="2548" spans="1:17">
      <c r="A2548" s="748" t="s">
        <v>3058</v>
      </c>
      <c r="B2548" s="748" t="s">
        <v>1709</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1710</v>
      </c>
      <c r="L2549" s="748" t="str">
        <f>IF(OR($O2549=$M2549,$O2549=0,$O2549=""),"","* * Check Score! * *")</f>
        <v/>
      </c>
      <c r="M2549" s="748">
        <v>1</v>
      </c>
      <c r="N2549" s="748" t="s">
        <v>3061</v>
      </c>
      <c r="O2549" s="748">
        <f>'Part IX A-Scoring Criteria'!O57</f>
        <v>1</v>
      </c>
      <c r="P2549" s="748">
        <f>'Part IX A-Scoring Criteria'!P57</f>
        <v>0</v>
      </c>
    </row>
    <row r="2550" spans="1:17">
      <c r="B2550" s="748" t="s">
        <v>333</v>
      </c>
    </row>
    <row r="2551" spans="1:17">
      <c r="A2551" s="748" t="str">
        <f>'Part IX A-Scoring Criteria'!A59</f>
        <v xml:space="preserve">As further evidence of the support for this project, the local county transit authority has agreed to create a dedicated bus stop specifically for this project.  Please see supporting letter from Jones County Administrator and location map located in tab 25 of this application. </v>
      </c>
    </row>
    <row r="2552" spans="1:17">
      <c r="B2552" s="748" t="s">
        <v>2920</v>
      </c>
    </row>
    <row r="2553" spans="1:17">
      <c r="A2553" s="748">
        <f>'Part IX A-Scoring Criteria'!A61</f>
        <v>0</v>
      </c>
    </row>
    <row r="2554" spans="1:17">
      <c r="A2554" s="748">
        <f>'Part IX A-Scoring Criteria'!A62</f>
        <v>0</v>
      </c>
    </row>
    <row r="2556" spans="1:17" ht="12.6" customHeight="1">
      <c r="A2556" s="748" t="s">
        <v>1886</v>
      </c>
      <c r="B2556" s="748" t="s">
        <v>3702</v>
      </c>
      <c r="E2556" s="748" t="s">
        <v>3704</v>
      </c>
      <c r="I2556" s="748" t="s">
        <v>2939</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t="str">
        <f>'Part IX A-Scoring Criteria'!O65</f>
        <v>N/a</v>
      </c>
      <c r="P2557" s="748">
        <f>'Part IX A-Scoring Criteria'!P65</f>
        <v>0</v>
      </c>
    </row>
    <row r="2558" spans="1:17" ht="12.6" customHeight="1">
      <c r="B2558" s="748" t="s">
        <v>1210</v>
      </c>
      <c r="I2558" s="748">
        <f>'Part IX A-Scoring Criteria'!I66</f>
        <v>0</v>
      </c>
    </row>
    <row r="2559" spans="1:17" ht="12.6" customHeight="1">
      <c r="B2559" s="748" t="s">
        <v>1212</v>
      </c>
      <c r="O2559" s="748" t="str">
        <f>'Part IX A-Scoring Criteria'!O67</f>
        <v>N/a</v>
      </c>
      <c r="P2559" s="748">
        <f>'Part IX A-Scoring Criteria'!P67</f>
        <v>0</v>
      </c>
    </row>
    <row r="2560" spans="1:17" ht="11.45" customHeight="1">
      <c r="B2560" s="748" t="s">
        <v>333</v>
      </c>
    </row>
    <row r="2561" spans="1:18">
      <c r="A2561" s="748">
        <f>'Part IX A-Scoring Criteria'!A69</f>
        <v>0</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2090</v>
      </c>
      <c r="I2566" s="748" t="s">
        <v>2939</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f>'Part IX A-Scoring Criteria'!A77</f>
        <v>0</v>
      </c>
    </row>
    <row r="2570" spans="1:18">
      <c r="B2570" s="748" t="s">
        <v>2920</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2658</v>
      </c>
      <c r="O2575" s="748" t="str">
        <f>'Part IX A-Scoring Criteria'!O83</f>
        <v>Yes</v>
      </c>
      <c r="P2575" s="748">
        <f>'Part IX A-Scoring Criteria'!P83</f>
        <v>0</v>
      </c>
    </row>
    <row r="2576" spans="1:18" ht="14.45" customHeight="1">
      <c r="B2576" s="748" t="s">
        <v>3058</v>
      </c>
      <c r="C2576" s="748" t="s">
        <v>1569</v>
      </c>
      <c r="M2576" s="748" t="str">
        <f>IF(AND($I$89="Stable Communities &lt; 10%",O2576=""), "X","")</f>
        <v/>
      </c>
      <c r="N2576" s="748" t="s">
        <v>3058</v>
      </c>
      <c r="O2576" s="748" t="str">
        <f>'Part IX A-Scoring Criteria'!O84</f>
        <v>Agree</v>
      </c>
      <c r="P2576" s="748">
        <f>'Part IX A-Scoring Criteria'!P84</f>
        <v>0</v>
      </c>
    </row>
    <row r="2577" spans="1:17" ht="13.15" customHeight="1">
      <c r="B2577" s="748" t="s">
        <v>3061</v>
      </c>
      <c r="C2577" s="748" t="s">
        <v>1570</v>
      </c>
      <c r="M2577" s="748" t="str">
        <f>IF(AND($I$89="Stable Communities &lt; 10%",O2577=""), "X","")</f>
        <v/>
      </c>
      <c r="N2577" s="748" t="s">
        <v>3061</v>
      </c>
      <c r="O2577" s="748" t="str">
        <f>'Part IX A-Scoring Criteria'!O85</f>
        <v>Agree</v>
      </c>
      <c r="P2577" s="748">
        <f>'Part IX A-Scoring Criteria'!P85</f>
        <v>0</v>
      </c>
    </row>
    <row r="2578" spans="1:17" ht="13.15" customHeight="1">
      <c r="B2578" s="748" t="s">
        <v>333</v>
      </c>
    </row>
    <row r="2579" spans="1:17">
      <c r="A2579" s="748">
        <f>'Part IX A-Scoring Criteria'!A87</f>
        <v>0</v>
      </c>
    </row>
    <row r="2580" spans="1:17">
      <c r="A2580" s="748">
        <f>'Part IX A-Scoring Criteria'!A88</f>
        <v>0</v>
      </c>
    </row>
    <row r="2581" spans="1:17">
      <c r="B2581" s="748" t="s">
        <v>2920</v>
      </c>
    </row>
    <row r="2582" spans="1:17">
      <c r="A2582" s="748">
        <f>'Part IX A-Scoring Criteria'!A90</f>
        <v>0</v>
      </c>
    </row>
    <row r="2583" spans="1:17">
      <c r="A2583" s="748">
        <f>'Part IX A-Scoring Criteria'!A91</f>
        <v>0</v>
      </c>
    </row>
    <row r="2585" spans="1:17">
      <c r="A2585" s="748" t="s">
        <v>744</v>
      </c>
      <c r="B2585" s="748" t="s">
        <v>3639</v>
      </c>
      <c r="I2585" s="748" t="str">
        <f>'Part IX A-Scoring Criteria'!I93</f>
        <v>Stable Communities &lt; 20%</v>
      </c>
      <c r="M2585" s="748">
        <v>6</v>
      </c>
      <c r="O2585" s="748">
        <f>'Part IX A-Scoring Criteria'!O93</f>
        <v>2</v>
      </c>
      <c r="P2585" s="748">
        <f>'Part IX A-Scoring Criteria'!P93</f>
        <v>0</v>
      </c>
      <c r="Q2585" s="748" t="s">
        <v>651</v>
      </c>
    </row>
    <row r="2586" spans="1:17">
      <c r="A2586" s="748" t="s">
        <v>508</v>
      </c>
    </row>
    <row r="2587" spans="1:17">
      <c r="A2587" s="748" t="s">
        <v>3058</v>
      </c>
      <c r="B2587" s="748" t="s">
        <v>3792</v>
      </c>
      <c r="M2587" s="748">
        <v>4</v>
      </c>
    </row>
    <row r="2588" spans="1:17">
      <c r="A2588" s="748" t="str">
        <f>'Part IX A-Scoring Criteria'!A96</f>
        <v/>
      </c>
      <c r="B2588" s="748" t="s">
        <v>3062</v>
      </c>
      <c r="C2588" s="748" t="s">
        <v>867</v>
      </c>
      <c r="O2588" s="748" t="s">
        <v>3793</v>
      </c>
      <c r="P2588" s="748" t="s">
        <v>3793</v>
      </c>
    </row>
    <row r="2589" spans="1:17">
      <c r="B2589" s="748" t="s">
        <v>3680</v>
      </c>
      <c r="C2589" s="748" t="s">
        <v>3620</v>
      </c>
      <c r="G2589" s="748" t="s">
        <v>3621</v>
      </c>
      <c r="M2589" s="748" t="str">
        <f>IF(AND($I$89="Stable Communities &lt; 10%",O2589=""), "X","")</f>
        <v/>
      </c>
      <c r="N2589" s="748" t="s">
        <v>3680</v>
      </c>
      <c r="O2589" s="748">
        <f>'Part IX A-Scoring Criteria'!O97</f>
        <v>0</v>
      </c>
      <c r="P2589" s="748">
        <f>'Part IX A-Scoring Criteria'!P97</f>
        <v>0</v>
      </c>
    </row>
    <row r="2590" spans="1:17">
      <c r="B2590" s="748" t="s">
        <v>3681</v>
      </c>
      <c r="C2590" s="748" t="s">
        <v>3622</v>
      </c>
      <c r="G2590" s="748" t="s">
        <v>3623</v>
      </c>
      <c r="M2590" s="748" t="str">
        <f>IF(AND($I$89="Stable Communities &lt; 10%",O2590=""), "X","")</f>
        <v/>
      </c>
      <c r="N2590" s="748" t="s">
        <v>3681</v>
      </c>
      <c r="O2590" s="748">
        <f>'Part IX A-Scoring Criteria'!O98</f>
        <v>0</v>
      </c>
      <c r="P2590" s="748">
        <f>'Part IX A-Scoring Criteria'!P98</f>
        <v>0</v>
      </c>
    </row>
    <row r="2591" spans="1:17">
      <c r="B2591" s="748" t="s">
        <v>3684</v>
      </c>
      <c r="C2591" s="748" t="s">
        <v>2190</v>
      </c>
      <c r="M2591" s="748" t="str">
        <f>IF(AND($I$89="Stable Communities &lt; 10%",O2591=""), "X","")</f>
        <v/>
      </c>
      <c r="N2591" s="748" t="s">
        <v>3684</v>
      </c>
      <c r="O2591" s="748">
        <f>'Part IX A-Scoring Criteria'!O99</f>
        <v>0</v>
      </c>
      <c r="P2591" s="748">
        <f>'Part IX A-Scoring Criteria'!P99</f>
        <v>0</v>
      </c>
    </row>
    <row r="2592" spans="1:17">
      <c r="A2592" s="748" t="str">
        <f>'Part IX A-Scoring Criteria'!A100</f>
        <v>X</v>
      </c>
      <c r="B2592" s="748" t="s">
        <v>3064</v>
      </c>
      <c r="C2592" s="748" t="s">
        <v>867</v>
      </c>
      <c r="O2592" s="748" t="s">
        <v>3793</v>
      </c>
      <c r="P2592" s="748" t="s">
        <v>3793</v>
      </c>
    </row>
    <row r="2593" spans="1:16">
      <c r="B2593" s="748" t="s">
        <v>3680</v>
      </c>
      <c r="C2593" s="748" t="s">
        <v>3705</v>
      </c>
      <c r="G2593" s="748" t="s">
        <v>3624</v>
      </c>
      <c r="M2593" s="748" t="str">
        <f>IF(AND($I$89="Stable Communities &lt; 20%",O2593=""), "X","")</f>
        <v/>
      </c>
      <c r="N2593" s="748" t="s">
        <v>3680</v>
      </c>
      <c r="O2593" s="748" t="str">
        <f>'Part IX A-Scoring Criteria'!O101</f>
        <v>Yes</v>
      </c>
      <c r="P2593" s="748">
        <f>'Part IX A-Scoring Criteria'!P101</f>
        <v>0</v>
      </c>
    </row>
    <row r="2594" spans="1:16">
      <c r="B2594" s="748" t="s">
        <v>3681</v>
      </c>
      <c r="C2594" s="748" t="s">
        <v>3622</v>
      </c>
      <c r="G2594" s="748" t="s">
        <v>3623</v>
      </c>
      <c r="M2594" s="748" t="str">
        <f>IF(AND($I$89="Stable Communities &lt; 20%",O2594=""), "X","")</f>
        <v/>
      </c>
      <c r="N2594" s="748" t="s">
        <v>3681</v>
      </c>
      <c r="O2594" s="748" t="str">
        <f>'Part IX A-Scoring Criteria'!O102</f>
        <v>Yes</v>
      </c>
      <c r="P2594" s="748">
        <f>'Part IX A-Scoring Criteria'!P102</f>
        <v>0</v>
      </c>
    </row>
    <row r="2595" spans="1:16">
      <c r="B2595" s="748" t="s">
        <v>3684</v>
      </c>
      <c r="C2595" s="748" t="s">
        <v>2190</v>
      </c>
      <c r="M2595" s="748" t="str">
        <f>IF(AND($I$89="Stable Communities &lt; 20%",O2595=""), "X","")</f>
        <v/>
      </c>
      <c r="N2595" s="748" t="s">
        <v>3684</v>
      </c>
      <c r="O2595" s="748" t="str">
        <f>'Part IX A-Scoring Criteria'!O103</f>
        <v>Yes</v>
      </c>
      <c r="P2595" s="748">
        <f>'Part IX A-Scoring Criteria'!P103</f>
        <v>0</v>
      </c>
    </row>
    <row r="2596" spans="1:16">
      <c r="A2596" s="748" t="s">
        <v>3061</v>
      </c>
      <c r="B2596" s="748" t="s">
        <v>346</v>
      </c>
      <c r="M2596" s="748">
        <v>6</v>
      </c>
    </row>
    <row r="2597" spans="1:16">
      <c r="A2597" s="748" t="str">
        <f>'Part IX A-Scoring Criteria'!A105</f>
        <v/>
      </c>
      <c r="B2597" s="748" t="s">
        <v>3062</v>
      </c>
      <c r="C2597" s="748" t="s">
        <v>4065</v>
      </c>
      <c r="O2597" s="748" t="s">
        <v>3793</v>
      </c>
      <c r="P2597" s="748" t="s">
        <v>3793</v>
      </c>
    </row>
    <row r="2598" spans="1:16">
      <c r="B2598" s="748" t="s">
        <v>3680</v>
      </c>
      <c r="C2598" s="748" t="s">
        <v>913</v>
      </c>
      <c r="M2598" s="748" t="str">
        <f>IF(AND($I$89="HOPE VI Initiative",O2598=""), "X","")</f>
        <v/>
      </c>
      <c r="N2598" s="748" t="s">
        <v>3680</v>
      </c>
      <c r="O2598" s="748" t="str">
        <f>'Part IX A-Scoring Criteria'!O106</f>
        <v>N/a</v>
      </c>
      <c r="P2598" s="748">
        <f>'Part IX A-Scoring Criteria'!P106</f>
        <v>0</v>
      </c>
    </row>
    <row r="2599" spans="1:16">
      <c r="B2599" s="748" t="s">
        <v>3681</v>
      </c>
      <c r="C2599" s="748" t="s">
        <v>914</v>
      </c>
      <c r="M2599" s="748" t="str">
        <f>IF(AND($I$89="HOPE VI Initiative",O2599=""), "X","")</f>
        <v/>
      </c>
      <c r="N2599" s="748" t="s">
        <v>3681</v>
      </c>
      <c r="O2599" s="748" t="str">
        <f>'Part IX A-Scoring Criteria'!O107</f>
        <v>N/a</v>
      </c>
      <c r="P2599" s="748">
        <f>'Part IX A-Scoring Criteria'!P107</f>
        <v>0</v>
      </c>
    </row>
    <row r="2600" spans="1:16">
      <c r="B2600" s="748" t="s">
        <v>3682</v>
      </c>
      <c r="C2600" s="748" t="s">
        <v>915</v>
      </c>
      <c r="M2600" s="748" t="str">
        <f>IF(AND($I$89="HOPE VI Initiative",O2600=""), "X","")</f>
        <v/>
      </c>
      <c r="N2600" s="748" t="s">
        <v>3682</v>
      </c>
      <c r="O2600" s="748" t="str">
        <f>'Part IX A-Scoring Criteria'!O108</f>
        <v>N/a</v>
      </c>
      <c r="P2600" s="748">
        <f>'Part IX A-Scoring Criteria'!P108</f>
        <v>0</v>
      </c>
    </row>
    <row r="2601" spans="1:16">
      <c r="B2601" s="748" t="s">
        <v>3683</v>
      </c>
      <c r="C2601" s="748" t="s">
        <v>916</v>
      </c>
      <c r="M2601" s="748" t="str">
        <f>IF(AND($I$89="HOPE VI Initiative",O2601=""), "X","")</f>
        <v/>
      </c>
      <c r="N2601" s="748" t="s">
        <v>3683</v>
      </c>
      <c r="O2601" s="748" t="str">
        <f>'Part IX A-Scoring Criteria'!O109</f>
        <v>N/a</v>
      </c>
      <c r="P2601" s="748">
        <f>'Part IX A-Scoring Criteria'!P109</f>
        <v>0</v>
      </c>
    </row>
    <row r="2602" spans="1:16">
      <c r="B2602" s="748" t="s">
        <v>3064</v>
      </c>
      <c r="C2602" s="748" t="s">
        <v>539</v>
      </c>
      <c r="G2602" s="748" t="s">
        <v>920</v>
      </c>
      <c r="N2602" s="748" t="s">
        <v>3064</v>
      </c>
      <c r="O2602" s="748" t="str">
        <f>'Part IX A-Scoring Criteria'!O110</f>
        <v>N/a</v>
      </c>
      <c r="P2602" s="748">
        <f>'Part IX A-Scoring Criteria'!P110</f>
        <v>0</v>
      </c>
    </row>
    <row r="2603" spans="1:16">
      <c r="A2603" s="748" t="str">
        <f>'Part IX A-Scoring Criteria'!A111</f>
        <v/>
      </c>
      <c r="B2603" s="748" t="s">
        <v>3821</v>
      </c>
      <c r="C2603" s="748" t="s">
        <v>540</v>
      </c>
      <c r="G2603" s="748" t="s">
        <v>1650</v>
      </c>
      <c r="H2603" s="748" t="str">
        <f>'Part IX A-Scoring Criteria'!H111</f>
        <v>&lt;&lt;Select&gt;&gt;</v>
      </c>
      <c r="I2603" s="748" t="s">
        <v>1562</v>
      </c>
      <c r="J2603" s="748">
        <f>'Part IX A-Scoring Criteria'!J111</f>
        <v>0</v>
      </c>
      <c r="N2603" s="748" t="s">
        <v>3821</v>
      </c>
      <c r="O2603" s="748" t="str">
        <f>'Part IX A-Scoring Criteria'!O111</f>
        <v>N/a</v>
      </c>
      <c r="P2603" s="748">
        <f>'Part IX A-Scoring Criteria'!P111</f>
        <v>0</v>
      </c>
    </row>
    <row r="2604" spans="1:16">
      <c r="A2604" s="748" t="str">
        <f>'Part IX A-Scoring Criteria'!A112</f>
        <v/>
      </c>
      <c r="B2604" s="748" t="s">
        <v>1885</v>
      </c>
      <c r="C2604" s="748" t="s">
        <v>3609</v>
      </c>
      <c r="G2604" s="748" t="s">
        <v>636</v>
      </c>
      <c r="H2604" s="748">
        <f>'Part IX A-Scoring Criteria'!H112</f>
        <v>0</v>
      </c>
      <c r="N2604" s="748" t="s">
        <v>1885</v>
      </c>
      <c r="O2604" s="748" t="str">
        <f>'Part IX A-Scoring Criteria'!O112</f>
        <v>N/a</v>
      </c>
      <c r="P2604" s="748">
        <f>'Part IX A-Scoring Criteria'!P112</f>
        <v>0</v>
      </c>
    </row>
    <row r="2605" spans="1:16">
      <c r="B2605" s="748" t="s">
        <v>3680</v>
      </c>
      <c r="C2605" s="748" t="s">
        <v>921</v>
      </c>
      <c r="G2605" s="748" t="s">
        <v>919</v>
      </c>
      <c r="H2605" s="748">
        <f>'Part IX A-Scoring Criteria'!H113</f>
        <v>0</v>
      </c>
      <c r="M2605" s="748" t="str">
        <f>IF(AND($I$89="Local Redevelopment Plan",O2605=""), "X","")</f>
        <v/>
      </c>
      <c r="N2605" s="748" t="s">
        <v>3680</v>
      </c>
      <c r="O2605" s="748" t="str">
        <f>'Part IX A-Scoring Criteria'!O113</f>
        <v>N/a</v>
      </c>
      <c r="P2605" s="748">
        <f>'Part IX A-Scoring Criteria'!P113</f>
        <v>0</v>
      </c>
    </row>
    <row r="2606" spans="1:16">
      <c r="B2606" s="748" t="s">
        <v>3681</v>
      </c>
      <c r="C2606" s="748" t="s">
        <v>3709</v>
      </c>
      <c r="N2606" s="748" t="s">
        <v>3681</v>
      </c>
      <c r="O2606" s="748" t="str">
        <f>'Part IX A-Scoring Criteria'!O114</f>
        <v>N/a</v>
      </c>
      <c r="P2606" s="748">
        <f>'Part IX A-Scoring Criteria'!P114</f>
        <v>0</v>
      </c>
    </row>
    <row r="2607" spans="1:16">
      <c r="B2607" s="748" t="s">
        <v>3682</v>
      </c>
      <c r="C2607" s="748" t="s">
        <v>3710</v>
      </c>
      <c r="M2607" s="748" t="str">
        <f t="shared" ref="M2607:M2616" si="374">IF(AND($I$89="Local Redevelopment Plan",O2607=""), "X","")</f>
        <v/>
      </c>
      <c r="N2607" s="748" t="s">
        <v>3682</v>
      </c>
      <c r="O2607" s="748" t="str">
        <f>'Part IX A-Scoring Criteria'!O115</f>
        <v>N/a</v>
      </c>
      <c r="P2607" s="748">
        <f>'Part IX A-Scoring Criteria'!P115</f>
        <v>0</v>
      </c>
    </row>
    <row r="2608" spans="1:16">
      <c r="B2608" s="748" t="s">
        <v>3683</v>
      </c>
      <c r="C2608" s="748" t="s">
        <v>3711</v>
      </c>
      <c r="M2608" s="748" t="str">
        <f t="shared" si="374"/>
        <v/>
      </c>
      <c r="N2608" s="748" t="s">
        <v>3683</v>
      </c>
      <c r="O2608" s="748" t="str">
        <f>'Part IX A-Scoring Criteria'!O116</f>
        <v>N/a</v>
      </c>
      <c r="P2608" s="748">
        <f>'Part IX A-Scoring Criteria'!P116</f>
        <v>0</v>
      </c>
    </row>
    <row r="2609" spans="1:17">
      <c r="B2609" s="748" t="s">
        <v>3684</v>
      </c>
      <c r="C2609" s="748" t="s">
        <v>3712</v>
      </c>
      <c r="M2609" s="748" t="str">
        <f t="shared" si="374"/>
        <v/>
      </c>
      <c r="N2609" s="748" t="s">
        <v>3684</v>
      </c>
      <c r="O2609" s="748" t="str">
        <f>'Part IX A-Scoring Criteria'!O117</f>
        <v>N/a</v>
      </c>
      <c r="P2609" s="748">
        <f>'Part IX A-Scoring Criteria'!P117</f>
        <v>0</v>
      </c>
    </row>
    <row r="2610" spans="1:17">
      <c r="B2610" s="748" t="s">
        <v>3707</v>
      </c>
      <c r="C2610" s="748" t="s">
        <v>3713</v>
      </c>
      <c r="M2610" s="748" t="str">
        <f t="shared" si="374"/>
        <v/>
      </c>
      <c r="N2610" s="748" t="s">
        <v>3707</v>
      </c>
      <c r="O2610" s="748" t="str">
        <f>'Part IX A-Scoring Criteria'!O118</f>
        <v>N/a</v>
      </c>
      <c r="P2610" s="748">
        <f>'Part IX A-Scoring Criteria'!P118</f>
        <v>0</v>
      </c>
    </row>
    <row r="2611" spans="1:17">
      <c r="B2611" s="748" t="s">
        <v>3708</v>
      </c>
      <c r="C2611" s="748" t="s">
        <v>3714</v>
      </c>
      <c r="M2611" s="748" t="str">
        <f t="shared" si="374"/>
        <v/>
      </c>
      <c r="N2611" s="748" t="s">
        <v>3708</v>
      </c>
      <c r="O2611" s="748" t="str">
        <f>'Part IX A-Scoring Criteria'!O119</f>
        <v>N/a</v>
      </c>
      <c r="P2611" s="748">
        <f>'Part IX A-Scoring Criteria'!P119</f>
        <v>0</v>
      </c>
    </row>
    <row r="2612" spans="1:17">
      <c r="A2612" s="748" t="str">
        <f>'Part IX A-Scoring Criteria'!A120</f>
        <v>X</v>
      </c>
      <c r="B2612" s="748" t="s">
        <v>3718</v>
      </c>
      <c r="O2612" s="748" t="s">
        <v>3793</v>
      </c>
      <c r="P2612" s="748" t="s">
        <v>3793</v>
      </c>
    </row>
    <row r="2613" spans="1:17">
      <c r="B2613" s="748" t="s">
        <v>3715</v>
      </c>
      <c r="C2613" s="748" t="s">
        <v>3719</v>
      </c>
      <c r="M2613" s="748" t="str">
        <f t="shared" si="374"/>
        <v/>
      </c>
      <c r="N2613" s="748" t="s">
        <v>3715</v>
      </c>
      <c r="O2613" s="748" t="str">
        <f>'Part IX A-Scoring Criteria'!O121</f>
        <v>N/a</v>
      </c>
      <c r="P2613" s="748">
        <f>'Part IX A-Scoring Criteria'!P121</f>
        <v>0</v>
      </c>
    </row>
    <row r="2614" spans="1:17">
      <c r="B2614" s="748" t="s">
        <v>3716</v>
      </c>
      <c r="C2614" s="748" t="s">
        <v>3720</v>
      </c>
      <c r="M2614" s="748" t="str">
        <f t="shared" si="374"/>
        <v/>
      </c>
      <c r="N2614" s="748" t="s">
        <v>3716</v>
      </c>
      <c r="O2614" s="748" t="str">
        <f>'Part IX A-Scoring Criteria'!O122</f>
        <v>N/a</v>
      </c>
      <c r="P2614" s="748">
        <f>'Part IX A-Scoring Criteria'!P122</f>
        <v>0</v>
      </c>
    </row>
    <row r="2615" spans="1:17">
      <c r="B2615" s="748" t="s">
        <v>3717</v>
      </c>
      <c r="C2615" s="748" t="s">
        <v>3721</v>
      </c>
      <c r="M2615" s="748" t="str">
        <f t="shared" si="374"/>
        <v/>
      </c>
      <c r="N2615" s="748" t="s">
        <v>3717</v>
      </c>
      <c r="O2615" s="748" t="str">
        <f>'Part IX A-Scoring Criteria'!O123</f>
        <v>N/a</v>
      </c>
      <c r="P2615" s="748">
        <f>'Part IX A-Scoring Criteria'!P123</f>
        <v>0</v>
      </c>
    </row>
    <row r="2616" spans="1:17">
      <c r="B2616" s="748" t="s">
        <v>918</v>
      </c>
      <c r="C2616" s="748" t="s">
        <v>3722</v>
      </c>
      <c r="M2616" s="748" t="str">
        <f t="shared" si="374"/>
        <v/>
      </c>
      <c r="N2616" s="748" t="s">
        <v>918</v>
      </c>
      <c r="O2616" s="748" t="str">
        <f>'Part IX A-Scoring Criteria'!O124</f>
        <v>N/a</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279</v>
      </c>
      <c r="B2624" s="748" t="s">
        <v>3723</v>
      </c>
      <c r="J2624" s="748" t="s">
        <v>504</v>
      </c>
      <c r="M2624" s="748">
        <v>3</v>
      </c>
      <c r="O2624" s="748">
        <f>MIN($M2624,(O2625+O2631))</f>
        <v>3</v>
      </c>
      <c r="P2624" s="748">
        <f>MIN($M2624,(P2625+P2631))</f>
        <v>3</v>
      </c>
      <c r="Q2624" s="748" t="s">
        <v>651</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15" customHeight="1">
      <c r="B2626" s="748" t="s">
        <v>3062</v>
      </c>
      <c r="C2626" s="748" t="s">
        <v>1564</v>
      </c>
      <c r="N2626" s="748" t="s">
        <v>3062</v>
      </c>
      <c r="O2626" s="748" t="str">
        <f>'Part IX A-Scoring Criteria'!O134</f>
        <v>N/a</v>
      </c>
      <c r="P2626" s="748">
        <f>'Part IX A-Scoring Criteria'!P134</f>
        <v>0</v>
      </c>
    </row>
    <row r="2627" spans="1:17" ht="13.15" customHeight="1">
      <c r="C2627" s="748" t="s">
        <v>1565</v>
      </c>
      <c r="H2627" s="748" t="s">
        <v>1563</v>
      </c>
      <c r="I2627" s="748">
        <f>'Part IX A-Scoring Criteria'!I135</f>
        <v>0</v>
      </c>
      <c r="J2627" s="748" t="s">
        <v>951</v>
      </c>
      <c r="K2627" s="748">
        <f>'Part IX A-Scoring Criteria'!K135</f>
        <v>0</v>
      </c>
    </row>
    <row r="2628" spans="1:17">
      <c r="B2628" s="748" t="s">
        <v>3064</v>
      </c>
      <c r="C2628" s="748" t="s">
        <v>1566</v>
      </c>
      <c r="L2628" s="748" t="str">
        <f>IF(OR($O2628=$M2628,$O2628=0,$O2628=""),"","* * Check Score! * *")</f>
        <v>* * Check Score! * *</v>
      </c>
      <c r="N2628" s="748" t="s">
        <v>3064</v>
      </c>
      <c r="O2628" s="748" t="str">
        <f>'Part IX A-Scoring Criteria'!O136</f>
        <v>N/a</v>
      </c>
      <c r="P2628" s="748">
        <f>'Part IX A-Scoring Criteria'!P136</f>
        <v>0</v>
      </c>
    </row>
    <row r="2629" spans="1:17">
      <c r="B2629" s="748" t="s">
        <v>3821</v>
      </c>
      <c r="C2629" s="748" t="s">
        <v>1567</v>
      </c>
      <c r="L2629" s="748" t="str">
        <f>IF(OR($O2629=$M2629,$O2629=0,$O2629=""),"","* * Check Score! * *")</f>
        <v>* * Check Score! * *</v>
      </c>
      <c r="N2629" s="748" t="s">
        <v>3821</v>
      </c>
      <c r="O2629" s="748" t="str">
        <f>'Part IX A-Scoring Criteria'!O137</f>
        <v>N/a</v>
      </c>
      <c r="P2629" s="748">
        <f>'Part IX A-Scoring Criteria'!P137</f>
        <v>0</v>
      </c>
    </row>
    <row r="2630" spans="1:17">
      <c r="B2630" s="748" t="s">
        <v>1885</v>
      </c>
      <c r="C2630" s="748" t="s">
        <v>1568</v>
      </c>
      <c r="L2630" s="748" t="str">
        <f>IF(OR($O2630=$M2630,$O2630=0,$O2630=""),"","* * Check Score! * *")</f>
        <v>* * Check Score! * *</v>
      </c>
      <c r="N2630" s="748" t="s">
        <v>1885</v>
      </c>
      <c r="O2630" s="748" t="str">
        <f>'Part IX A-Scoring Criteria'!O138</f>
        <v>N/a</v>
      </c>
      <c r="P2630" s="748">
        <f>'Part IX A-Scoring Criteria'!P138</f>
        <v>0</v>
      </c>
    </row>
    <row r="2631" spans="1:17">
      <c r="A2631" s="748" t="s">
        <v>2055</v>
      </c>
      <c r="B2631" s="748" t="s">
        <v>3061</v>
      </c>
      <c r="C2631" s="748" t="s">
        <v>3357</v>
      </c>
      <c r="M2631" s="748">
        <v>3</v>
      </c>
      <c r="N2631" s="748" t="s">
        <v>3061</v>
      </c>
      <c r="O2631" s="748">
        <f>IF($M2632=4,3,IF($M2632=3,2,IF($M2632=2,1,0)))</f>
        <v>3</v>
      </c>
      <c r="P2631" s="748">
        <f>IF($M2632=4,3,IF($M2632=3,2,IF($M2632=2,1,0)))</f>
        <v>3</v>
      </c>
    </row>
    <row r="2632" spans="1:17">
      <c r="L2632" s="748" t="s">
        <v>734</v>
      </c>
      <c r="M2632" s="748">
        <f>'Part IX A-Scoring Criteria'!M140</f>
        <v>4</v>
      </c>
      <c r="N2632" s="748" t="s">
        <v>735</v>
      </c>
    </row>
    <row r="2633" spans="1:17">
      <c r="B2633" s="748" t="s">
        <v>333</v>
      </c>
    </row>
    <row r="2634" spans="1:17">
      <c r="A2634" s="748">
        <f>'Part IX A-Scoring Criteria'!A142</f>
        <v>0</v>
      </c>
    </row>
    <row r="2635" spans="1:17">
      <c r="B2635" s="748" t="s">
        <v>2920</v>
      </c>
    </row>
    <row r="2636" spans="1:17">
      <c r="A2636" s="748">
        <f>'Part IX A-Scoring Criteria'!A144</f>
        <v>0</v>
      </c>
    </row>
    <row r="2638" spans="1:17">
      <c r="A2638" s="748" t="s">
        <v>280</v>
      </c>
      <c r="B2638" s="748" t="s">
        <v>3724</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3793</v>
      </c>
    </row>
    <row r="2640" spans="1:17">
      <c r="A2640" s="748" t="s">
        <v>3680</v>
      </c>
      <c r="B2640" s="748" t="s">
        <v>3725</v>
      </c>
      <c r="O2640" s="748" t="s">
        <v>3680</v>
      </c>
      <c r="P2640" s="748">
        <f>'Part IX A-Scoring Criteria'!P148</f>
        <v>0</v>
      </c>
    </row>
    <row r="2641" spans="1:16" ht="13.15" customHeight="1">
      <c r="A2641" s="748" t="s">
        <v>3681</v>
      </c>
      <c r="B2641" s="748" t="s">
        <v>3726</v>
      </c>
      <c r="O2641" s="748" t="s">
        <v>3681</v>
      </c>
      <c r="P2641" s="748">
        <f>'Part IX A-Scoring Criteria'!P149</f>
        <v>0</v>
      </c>
    </row>
    <row r="2642" spans="1:16" ht="13.15"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15" customHeight="1">
      <c r="A2644" s="748" t="s">
        <v>3684</v>
      </c>
      <c r="B2644" s="748" t="s">
        <v>3339</v>
      </c>
      <c r="O2644" s="748" t="s">
        <v>3684</v>
      </c>
      <c r="P2644" s="748">
        <f>'Part IX A-Scoring Criteria'!P152</f>
        <v>0</v>
      </c>
    </row>
    <row r="2645" spans="1:16" ht="13.15" customHeight="1">
      <c r="A2645" s="748" t="s">
        <v>3707</v>
      </c>
      <c r="B2645" s="748" t="s">
        <v>3340</v>
      </c>
      <c r="O2645" s="748" t="s">
        <v>3707</v>
      </c>
      <c r="P2645" s="748">
        <f>'Part IX A-Scoring Criteria'!P153</f>
        <v>0</v>
      </c>
    </row>
    <row r="2646" spans="1:16">
      <c r="A2646" s="748" t="s">
        <v>3708</v>
      </c>
      <c r="B2646" s="748" t="s">
        <v>2667</v>
      </c>
      <c r="O2646" s="748" t="s">
        <v>3708</v>
      </c>
      <c r="P2646" s="748">
        <f>'Part IX A-Scoring Criteria'!P154</f>
        <v>0</v>
      </c>
    </row>
    <row r="2647" spans="1:16">
      <c r="A2647" s="748" t="s">
        <v>3715</v>
      </c>
      <c r="B2647" s="748" t="s">
        <v>2668</v>
      </c>
      <c r="O2647" s="748" t="s">
        <v>3715</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3358</v>
      </c>
      <c r="J2658" s="748" t="s">
        <v>504</v>
      </c>
      <c r="M2658" s="748">
        <v>1</v>
      </c>
      <c r="O2658" s="748">
        <f>MIN($M2658,SUM(O2659:O2660))</f>
        <v>1</v>
      </c>
      <c r="P2658" s="748">
        <f>MIN($M2658,SUM(P2659:P2660))</f>
        <v>0</v>
      </c>
      <c r="Q2658" s="748" t="s">
        <v>651</v>
      </c>
    </row>
    <row r="2659" spans="1:18">
      <c r="B2659" s="748" t="s">
        <v>3058</v>
      </c>
      <c r="C2659" s="748" t="s">
        <v>3359</v>
      </c>
      <c r="K2659" s="748" t="s">
        <v>2215</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2920</v>
      </c>
    </row>
    <row r="2664" spans="1:18">
      <c r="A2664" s="748">
        <f>'Part IX A-Scoring Criteria'!A172</f>
        <v>0</v>
      </c>
    </row>
    <row r="2665" spans="1:18">
      <c r="A2665" s="748">
        <f>'Part IX A-Scoring Criteria'!A173</f>
        <v>0</v>
      </c>
    </row>
    <row r="2667" spans="1:18">
      <c r="A2667" s="748" t="s">
        <v>300</v>
      </c>
      <c r="B2667" s="748" t="s">
        <v>3663</v>
      </c>
      <c r="J2667" s="748" t="s">
        <v>504</v>
      </c>
      <c r="M2667" s="748">
        <v>6</v>
      </c>
      <c r="O2667" s="748">
        <f>MIN($M2667,(O2668+O2672))</f>
        <v>0</v>
      </c>
      <c r="P2667" s="748">
        <f>MIN($M2667,(P2668+P2672))</f>
        <v>0</v>
      </c>
      <c r="Q2667" s="748" t="s">
        <v>651</v>
      </c>
    </row>
    <row r="2668" spans="1:18">
      <c r="B2668" s="748" t="s">
        <v>3058</v>
      </c>
      <c r="C2668" s="748" t="s">
        <v>2840</v>
      </c>
      <c r="L2668" s="748" t="str">
        <f>IF($O2668&lt;=$M2668,"","* * Check Score! * *")</f>
        <v/>
      </c>
      <c r="M2668" s="748">
        <v>3</v>
      </c>
      <c r="N2668" s="748" t="s">
        <v>3058</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3062</v>
      </c>
      <c r="C2670" s="748" t="s">
        <v>3610</v>
      </c>
      <c r="M2670" s="748">
        <v>3</v>
      </c>
    </row>
    <row r="2671" spans="1:18" ht="14.45" customHeight="1">
      <c r="A2671" s="748" t="str">
        <f>IF($I$89="HOPE VI Initiative", "X","")</f>
        <v/>
      </c>
      <c r="B2671" s="748" t="s">
        <v>3064</v>
      </c>
      <c r="C2671" s="748" t="s">
        <v>2900</v>
      </c>
      <c r="M2671" s="748">
        <v>1</v>
      </c>
    </row>
    <row r="2672" spans="1:18" ht="14.45" customHeight="1">
      <c r="B2672" s="748" t="s">
        <v>3061</v>
      </c>
      <c r="C2672" s="748" t="s">
        <v>2669</v>
      </c>
      <c r="M2672" s="748">
        <v>6</v>
      </c>
      <c r="N2672" s="748" t="s">
        <v>3061</v>
      </c>
      <c r="O2672" s="748">
        <f>'Part IX A-Scoring Criteria'!O180</f>
        <v>0</v>
      </c>
      <c r="P2672" s="748">
        <f>'Part IX A-Scoring Criteria'!P180</f>
        <v>0</v>
      </c>
      <c r="R2672" s="748" t="str">
        <f>IF(OR($O2672=$M2672,$O2672=0,$O2672=""),"","* * Check Score! * *")</f>
        <v/>
      </c>
    </row>
    <row r="2673" spans="1:18">
      <c r="B2673" s="748" t="s">
        <v>3062</v>
      </c>
      <c r="C2673" s="748" t="s">
        <v>2671</v>
      </c>
      <c r="M2673" s="748">
        <v>6</v>
      </c>
      <c r="N2673" s="748" t="s">
        <v>3062</v>
      </c>
      <c r="O2673" s="748">
        <f>'Part IX A-Scoring Criteria'!O181</f>
        <v>0</v>
      </c>
      <c r="P2673" s="748">
        <f>'Part IX A-Scoring Criteria'!P181</f>
        <v>0</v>
      </c>
    </row>
    <row r="2674" spans="1:18">
      <c r="B2674" s="748" t="s">
        <v>3064</v>
      </c>
      <c r="C2674" s="748" t="s">
        <v>2672</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2670</v>
      </c>
      <c r="L2675" s="748" t="str">
        <f>IF(OR($O2675=$M2675,$O2675=0,$O2675=""),"","* * Check Score! * *")</f>
        <v/>
      </c>
      <c r="M2675" s="748">
        <v>2</v>
      </c>
      <c r="N2675" s="748" t="s">
        <v>3821</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0</v>
      </c>
      <c r="P2683" s="748">
        <f>MIN($M2683,P2685+P2684)</f>
        <v>0</v>
      </c>
      <c r="Q2683" s="748" t="s">
        <v>651</v>
      </c>
    </row>
    <row r="2684" spans="1:18">
      <c r="A2684" s="748" t="s">
        <v>3058</v>
      </c>
      <c r="B2684" s="748" t="s">
        <v>922</v>
      </c>
      <c r="L2684" s="748" t="str">
        <f>IF(OR($O2684=$M2684,$O2684=0,$O2684=""),"","* * Check Score! * *")</f>
        <v/>
      </c>
      <c r="M2684" s="748">
        <v>3</v>
      </c>
      <c r="N2684" s="748" t="s">
        <v>3058</v>
      </c>
      <c r="O2684" s="748">
        <f>'Part IX A-Scoring Criteria'!O192</f>
        <v>0</v>
      </c>
      <c r="P2684" s="748">
        <f>'Part IX A-Scoring Criteria'!P192</f>
        <v>0</v>
      </c>
      <c r="R2684" s="748" t="str">
        <f>IF(OR($O2684=$M2684,$O2684=0,$O2684=""),"","* * Check Score! * *")</f>
        <v/>
      </c>
    </row>
    <row r="2685" spans="1:18">
      <c r="A2685" s="748" t="s">
        <v>3061</v>
      </c>
      <c r="B2685" s="748" t="s">
        <v>2866</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2920</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3058</v>
      </c>
      <c r="B2692" s="748" t="s">
        <v>4066</v>
      </c>
      <c r="L2692" s="748" t="str">
        <f>IF(OR($O2692=$M2692,$O2692=0,$O2692=""),"","* * Check Score! * *")</f>
        <v/>
      </c>
      <c r="M2692" s="748">
        <v>2</v>
      </c>
      <c r="N2692" s="748" t="s">
        <v>3058</v>
      </c>
      <c r="O2692" s="748">
        <f>'Part IX A-Scoring Criteria'!O200</f>
        <v>2</v>
      </c>
      <c r="P2692" s="748">
        <f>'Part IX A-Scoring Criteria'!P200</f>
        <v>0</v>
      </c>
      <c r="R2692" s="748" t="str">
        <f>IF(OR($O2692=$M2692,$O2692=0,$O2692=""),"","* * Check Score! * *")</f>
        <v/>
      </c>
    </row>
    <row r="2693" spans="1:18">
      <c r="A2693" s="748" t="s">
        <v>3061</v>
      </c>
      <c r="B2693" s="748" t="s">
        <v>4067</v>
      </c>
      <c r="M2693" s="748">
        <v>1</v>
      </c>
      <c r="N2693" s="748" t="s">
        <v>3061</v>
      </c>
      <c r="O2693" s="748">
        <f>'Part IX A-Scoring Criteria'!O201</f>
        <v>0</v>
      </c>
      <c r="P2693" s="748">
        <f>'Part IX A-Scoring Criteria'!P201</f>
        <v>0</v>
      </c>
      <c r="R2693" s="748" t="str">
        <f>IF(OR($O2693=$M2693,$O2693=0,$O2693=""),"","* * Check Score! * *")</f>
        <v/>
      </c>
    </row>
    <row r="2694" spans="1:18">
      <c r="B2694" s="748" t="s">
        <v>333</v>
      </c>
    </row>
    <row r="2695" spans="1:18">
      <c r="A2695" s="748">
        <f>'Part IX A-Scoring Criteria'!A203</f>
        <v>0</v>
      </c>
    </row>
    <row r="2696" spans="1:18">
      <c r="B2696" s="748" t="s">
        <v>2920</v>
      </c>
    </row>
    <row r="2697" spans="1:18">
      <c r="A2697" s="748">
        <f>'Part IX A-Scoring Criteria'!A205</f>
        <v>0</v>
      </c>
    </row>
    <row r="2699" spans="1:18">
      <c r="A2699" s="748" t="s">
        <v>2676</v>
      </c>
      <c r="B2699" s="748" t="s">
        <v>1037</v>
      </c>
      <c r="J2699" s="748" t="s">
        <v>3640</v>
      </c>
      <c r="L2699" s="748" t="str">
        <f>IF(OR($O2699=$M2699,$O2699=0,$O2699=2,$O2699=""),"","* * Check Score! * *")</f>
        <v/>
      </c>
      <c r="M2699" s="748">
        <v>3</v>
      </c>
      <c r="O2699" s="748">
        <f>IF(OR(AND(J2701=2,M2701=3),AND(J2701=0,M2701=3)),3,IF(AND(J2701=3,M2701=2),2,0))</f>
        <v>3</v>
      </c>
      <c r="P2699" s="748">
        <f>'Part IX A-Scoring Criteria'!P207</f>
        <v>0</v>
      </c>
      <c r="Q2699" s="748" t="s">
        <v>651</v>
      </c>
    </row>
    <row r="2700" spans="1:18" ht="13.15" customHeight="1">
      <c r="B2700" s="748" t="s">
        <v>1571</v>
      </c>
    </row>
    <row r="2701" spans="1:18">
      <c r="C2701" s="748" t="s">
        <v>951</v>
      </c>
      <c r="D2701" s="748">
        <f>'Part IX A-Scoring Criteria'!D209</f>
        <v>0</v>
      </c>
      <c r="I2701" s="748" t="s">
        <v>1572</v>
      </c>
      <c r="J2701" s="748">
        <f>'Part IX A-Scoring Criteria'!J209</f>
        <v>0</v>
      </c>
      <c r="L2701" s="748" t="s">
        <v>4068</v>
      </c>
      <c r="M2701" s="748">
        <f>'Part IX A-Scoring Criteria'!M209</f>
        <v>3</v>
      </c>
    </row>
    <row r="2702" spans="1:18">
      <c r="B2702" s="748" t="s">
        <v>333</v>
      </c>
      <c r="J2702" s="748" t="s">
        <v>2920</v>
      </c>
    </row>
    <row r="2703" spans="1:18">
      <c r="A2703" s="748">
        <f>'Part IX A-Scoring Criteria'!A211</f>
        <v>0</v>
      </c>
      <c r="J2703" s="748">
        <f>'Part IX A-Scoring Criteria'!J211</f>
        <v>0</v>
      </c>
    </row>
    <row r="2705" spans="1:17">
      <c r="A2705" s="748" t="s">
        <v>2678</v>
      </c>
      <c r="B2705" s="748" t="s">
        <v>2677</v>
      </c>
      <c r="L2705" s="748" t="str">
        <f>IF(OR($O2705=$M2705,$O2705=0,$O2705=""),"","* * Check Score! * *")</f>
        <v/>
      </c>
      <c r="M2705" s="748">
        <v>1</v>
      </c>
      <c r="O2705" s="748">
        <f>'Part IX A-Scoring Criteria'!O213</f>
        <v>1</v>
      </c>
      <c r="P2705" s="748">
        <f>'Part IX A-Scoring Criteria'!P213</f>
        <v>0</v>
      </c>
      <c r="Q2705" s="748" t="s">
        <v>651</v>
      </c>
    </row>
    <row r="2706" spans="1:17">
      <c r="B2706" s="748" t="s">
        <v>2891</v>
      </c>
      <c r="E2706" s="748" t="str">
        <f>'Part IX A-Scoring Criteria'!E214</f>
        <v>Georgia Institute for Community Housing Community</v>
      </c>
      <c r="I2706" s="748" t="s">
        <v>2890</v>
      </c>
      <c r="O2706" s="748" t="s">
        <v>3793</v>
      </c>
      <c r="P2706" s="748" t="s">
        <v>3793</v>
      </c>
    </row>
    <row r="2707" spans="1:17">
      <c r="B2707" s="748" t="s">
        <v>3680</v>
      </c>
      <c r="C2707" s="748" t="s">
        <v>2679</v>
      </c>
      <c r="G2707" s="748" t="str">
        <f>'Part IX A-Scoring Criteria'!G215</f>
        <v>Gray / Jones County</v>
      </c>
      <c r="J2707" s="748" t="str">
        <f>'Part IX A-Scoring Criteria'!J215</f>
        <v>&lt;Select Community of Opportunity&gt;</v>
      </c>
      <c r="N2707" s="748" t="s">
        <v>3680</v>
      </c>
      <c r="O2707" s="748" t="str">
        <f>'Part IX A-Scoring Criteria'!O215</f>
        <v>Yes</v>
      </c>
      <c r="P2707" s="748">
        <f>'Part IX A-Scoring Criteria'!P215</f>
        <v>0</v>
      </c>
    </row>
    <row r="2708" spans="1:17">
      <c r="B2708" s="748" t="s">
        <v>3681</v>
      </c>
      <c r="C2708" s="748" t="s">
        <v>505</v>
      </c>
      <c r="N2708" s="748" t="s">
        <v>3681</v>
      </c>
      <c r="O2708" s="748" t="str">
        <f>'Part IX A-Scoring Criteria'!O216</f>
        <v>Yes</v>
      </c>
      <c r="P2708" s="748">
        <f>'Part IX A-Scoring Criteria'!P216</f>
        <v>0</v>
      </c>
    </row>
    <row r="2709" spans="1:17">
      <c r="B2709" s="748" t="s">
        <v>3682</v>
      </c>
      <c r="C2709" s="748" t="s">
        <v>2624</v>
      </c>
      <c r="N2709" s="748" t="s">
        <v>3682</v>
      </c>
      <c r="O2709" s="748" t="str">
        <f>'Part IX A-Scoring Criteria'!O217</f>
        <v>Yes</v>
      </c>
      <c r="P2709" s="748">
        <f>'Part IX A-Scoring Criteria'!P217</f>
        <v>0</v>
      </c>
    </row>
    <row r="2710" spans="1:17">
      <c r="B2710" s="748" t="s">
        <v>3683</v>
      </c>
      <c r="C2710" s="748" t="s">
        <v>3489</v>
      </c>
      <c r="N2710" s="748" t="s">
        <v>3683</v>
      </c>
      <c r="O2710" s="748" t="str">
        <f>'Part IX A-Scoring Criteria'!O218</f>
        <v>Yes</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2680</v>
      </c>
      <c r="B2719" s="748" t="s">
        <v>2892</v>
      </c>
      <c r="L2719" s="748" t="str">
        <f>IF(M2719&gt;14,"Over limit!","")</f>
        <v/>
      </c>
      <c r="M2719" s="748">
        <v>8</v>
      </c>
      <c r="O2719" s="748">
        <f>MIN($M2719,(O2727+O2737+O2739))</f>
        <v>0</v>
      </c>
      <c r="P2719" s="748">
        <f>MIN($M2719,(P2727+P2737+P2739))</f>
        <v>0</v>
      </c>
      <c r="Q2719" s="748" t="s">
        <v>651</v>
      </c>
    </row>
    <row r="2720" spans="1:17">
      <c r="B2720" s="748" t="s">
        <v>868</v>
      </c>
      <c r="L2720" s="748" t="str">
        <f>IF(M2720&gt;14,"Over limit!","")</f>
        <v/>
      </c>
      <c r="O2720" s="748" t="s">
        <v>3793</v>
      </c>
      <c r="P2720" s="748" t="s">
        <v>3793</v>
      </c>
    </row>
    <row r="2721" spans="1:18">
      <c r="B2721" s="748" t="s">
        <v>3062</v>
      </c>
      <c r="C2721" s="748" t="s">
        <v>869</v>
      </c>
      <c r="L2721" s="748" t="str">
        <f>IF(M2721&gt;14,"Over limit!","")</f>
        <v/>
      </c>
      <c r="N2721" s="748" t="s">
        <v>3062</v>
      </c>
      <c r="O2721" s="748" t="str">
        <f>'Part IX A-Scoring Criteria'!O229</f>
        <v>N/a</v>
      </c>
      <c r="P2721" s="748">
        <f>'Part IX A-Scoring Criteria'!P229</f>
        <v>0</v>
      </c>
    </row>
    <row r="2722" spans="1:18">
      <c r="B2722" s="748" t="s">
        <v>3064</v>
      </c>
      <c r="C2722" s="748" t="s">
        <v>870</v>
      </c>
      <c r="N2722" s="748" t="s">
        <v>3064</v>
      </c>
      <c r="O2722" s="748" t="str">
        <f>'Part IX A-Scoring Criteria'!O230</f>
        <v>N/a</v>
      </c>
      <c r="P2722" s="748">
        <f>'Part IX A-Scoring Criteria'!P230</f>
        <v>0</v>
      </c>
    </row>
    <row r="2723" spans="1:18">
      <c r="B2723" s="748" t="s">
        <v>3821</v>
      </c>
      <c r="C2723" s="748" t="s">
        <v>871</v>
      </c>
      <c r="N2723" s="748" t="s">
        <v>3821</v>
      </c>
      <c r="O2723" s="748" t="str">
        <f>'Part IX A-Scoring Criteria'!O231</f>
        <v>N/a</v>
      </c>
      <c r="P2723" s="748">
        <f>'Part IX A-Scoring Criteria'!P231</f>
        <v>0</v>
      </c>
    </row>
    <row r="2724" spans="1:18">
      <c r="B2724" s="748" t="s">
        <v>1885</v>
      </c>
      <c r="C2724" s="748" t="s">
        <v>872</v>
      </c>
      <c r="N2724" s="748" t="s">
        <v>1885</v>
      </c>
      <c r="O2724" s="748" t="str">
        <f>'Part IX A-Scoring Criteria'!O232</f>
        <v>N/a</v>
      </c>
      <c r="P2724" s="748">
        <f>'Part IX A-Scoring Criteria'!P232</f>
        <v>0</v>
      </c>
    </row>
    <row r="2725" spans="1:18">
      <c r="B2725" s="748" t="s">
        <v>1886</v>
      </c>
      <c r="C2725" s="748" t="s">
        <v>884</v>
      </c>
      <c r="N2725" s="748" t="s">
        <v>1886</v>
      </c>
      <c r="O2725" s="748" t="str">
        <f>'Part IX A-Scoring Criteria'!O233</f>
        <v>N/a</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0</v>
      </c>
      <c r="P2727" s="748">
        <f>MIN($M2727,SUM(P2728:P2735))</f>
        <v>0</v>
      </c>
    </row>
    <row r="2728" spans="1:18">
      <c r="B2728" s="748" t="s">
        <v>3062</v>
      </c>
      <c r="C2728" s="748" t="s">
        <v>2216</v>
      </c>
      <c r="H2728" s="748" t="s">
        <v>2217</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2220</v>
      </c>
      <c r="H2729" s="748" t="s">
        <v>2217</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2224</v>
      </c>
      <c r="H2730" s="748" t="s">
        <v>2217</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0</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2941</v>
      </c>
      <c r="C2733" s="748" t="s">
        <v>2222</v>
      </c>
      <c r="H2733" s="748" t="s">
        <v>2218</v>
      </c>
      <c r="L2733" s="748" t="str">
        <f t="shared" si="375"/>
        <v/>
      </c>
      <c r="M2733" s="748">
        <v>2</v>
      </c>
      <c r="N2733" s="748" t="s">
        <v>2941</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0</v>
      </c>
      <c r="P2739" s="748">
        <f>'Part IX A-Scoring Criteria'!P247</f>
        <v>0</v>
      </c>
      <c r="R2739" s="748" t="str">
        <f>IF(OR($O2739=$M2739,$O2739=0,$O2739=""),"","* * Check Score! * *")</f>
        <v/>
      </c>
    </row>
    <row r="2740" spans="1:18">
      <c r="B2740" s="748" t="s">
        <v>3062</v>
      </c>
      <c r="C2740" s="748" t="s">
        <v>983</v>
      </c>
      <c r="E2740" s="748">
        <f>'Part IX A-Scoring Criteria'!E248</f>
        <v>0</v>
      </c>
    </row>
    <row r="2741" spans="1:18">
      <c r="B2741" s="748" t="s">
        <v>3064</v>
      </c>
      <c r="C2741" s="748" t="s">
        <v>3559</v>
      </c>
      <c r="E2741" s="748">
        <f>'Part IX A-Scoring Criteria'!E249</f>
        <v>0</v>
      </c>
    </row>
    <row r="2742" spans="1:18">
      <c r="B2742" s="748" t="s">
        <v>3821</v>
      </c>
      <c r="C2742" s="748" t="s">
        <v>984</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3515</v>
      </c>
      <c r="O2752" s="748" t="str">
        <f>'Part IX A-Scoring Criteria'!O260</f>
        <v>No</v>
      </c>
      <c r="P2752" s="748">
        <f>'Part IX A-Scoring Criteria'!P260</f>
        <v>0</v>
      </c>
    </row>
    <row r="2753" spans="1:18" ht="14.45" customHeight="1">
      <c r="B2753" s="748" t="s">
        <v>3516</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3058</v>
      </c>
      <c r="B2763" s="748" t="s">
        <v>2687</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2688</v>
      </c>
      <c r="M2764" s="748">
        <v>3</v>
      </c>
      <c r="N2764" s="748" t="s">
        <v>3061</v>
      </c>
      <c r="O2764" s="748">
        <f>'Part IX A-Scoring Criteria'!O272</f>
        <v>3</v>
      </c>
      <c r="P2764" s="748">
        <f>'Part IX A-Scoring Criteria'!P272</f>
        <v>0</v>
      </c>
      <c r="R2764" s="748" t="str">
        <f>IF(OR($O2764=$M2764,$O2764=0,$O2764=""),"","* * Check Score! * *")</f>
        <v/>
      </c>
    </row>
    <row r="2765" spans="1:18" ht="14.45" customHeight="1">
      <c r="B2765" s="748" t="s">
        <v>3517</v>
      </c>
      <c r="O2765" s="748" t="str">
        <f>'Part IX A-Scoring Criteria'!O273</f>
        <v>Agree</v>
      </c>
      <c r="P2765" s="748">
        <f>'Part IX A-Scoring Criteria'!P273</f>
        <v>0</v>
      </c>
    </row>
    <row r="2766" spans="1:18">
      <c r="B2766" s="748" t="s">
        <v>333</v>
      </c>
    </row>
    <row r="2767" spans="1:18">
      <c r="A2767" s="748">
        <f>'Part IX A-Scoring Criteria'!A275</f>
        <v>0</v>
      </c>
    </row>
    <row r="2768" spans="1:18">
      <c r="B2768" s="748" t="s">
        <v>2920</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3835</v>
      </c>
      <c r="O2773" s="748" t="str">
        <f>'Part IX A-Scoring Criteria'!O281</f>
        <v>Yes</v>
      </c>
      <c r="P2773" s="748">
        <f>'Part IX A-Scoring Criteria'!P281</f>
        <v>0</v>
      </c>
    </row>
    <row r="2775" spans="1:17">
      <c r="B2775" s="748" t="s">
        <v>3058</v>
      </c>
      <c r="C2775" s="748" t="s">
        <v>2160</v>
      </c>
      <c r="N2775" s="748" t="s">
        <v>3058</v>
      </c>
      <c r="O2775" s="748">
        <f>'Part IX A-Scoring Criteria'!O283</f>
        <v>10</v>
      </c>
      <c r="P2775" s="748">
        <f>'Part IX A-Scoring Criteria'!P283</f>
        <v>0</v>
      </c>
    </row>
    <row r="2777" spans="1:17">
      <c r="B2777" s="748" t="s">
        <v>3061</v>
      </c>
      <c r="C2777" s="748" t="s">
        <v>347</v>
      </c>
      <c r="N2777" s="748" t="s">
        <v>3061</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1932</v>
      </c>
    </row>
    <row r="2781" spans="1:17">
      <c r="A2781" s="748">
        <f>'Part IX A-Scoring Criteria'!A289</f>
        <v>0</v>
      </c>
    </row>
    <row r="2782" spans="1:17">
      <c r="B2782" s="748" t="s">
        <v>2920</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58</v>
      </c>
      <c r="P2786" s="748">
        <f>P2500+P2523+P2530+P2547+P2556+P2566+P2574+P2585+P2624+P2638+P2658+P2667+P2683+P2691+P2699+P2705+P2719+P2751+P2762+P2771</f>
        <v>13</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C12" sqref="C12"/>
    </sheetView>
  </sheetViews>
  <sheetFormatPr defaultRowHeight="12.75"/>
  <cols>
    <col min="1" max="1" width="88.42578125" style="31" customWidth="1"/>
    <col min="2" max="16384" width="9.140625" style="31"/>
  </cols>
  <sheetData>
    <row r="1" spans="1:6" ht="15.75">
      <c r="A1" s="1146" t="s">
        <v>1590</v>
      </c>
    </row>
    <row r="2" spans="1:6" ht="16.5">
      <c r="A2" s="1147" t="str">
        <f>'Part I-Project Information'!F22</f>
        <v>Water Tower Park Apartments</v>
      </c>
    </row>
    <row r="3" spans="1:6" ht="16.5">
      <c r="A3" s="1147" t="str">
        <f>CONCATENATE('Part I-Project Information'!F24,", ", 'Part I-Project Information'!J25," County")</f>
        <v>Gray, Jones County</v>
      </c>
    </row>
    <row r="4" spans="1:6" ht="12" customHeight="1"/>
    <row r="5" spans="1:6" ht="111" customHeight="1">
      <c r="A5" s="1148" t="s">
        <v>4000</v>
      </c>
      <c r="B5" s="774" t="s">
        <v>1591</v>
      </c>
      <c r="C5" s="774"/>
      <c r="D5" s="774"/>
      <c r="E5" s="774"/>
      <c r="F5" s="774"/>
    </row>
    <row r="6" spans="1:6" ht="6.6" customHeight="1">
      <c r="A6" s="1149"/>
      <c r="B6" s="774"/>
      <c r="C6" s="774"/>
      <c r="D6" s="774"/>
      <c r="E6" s="774"/>
      <c r="F6" s="774"/>
    </row>
    <row r="7" spans="1:6" ht="111" customHeight="1">
      <c r="A7" s="1148" t="s">
        <v>4001</v>
      </c>
    </row>
    <row r="8" spans="1:6" ht="6.6" customHeight="1">
      <c r="A8" s="1149"/>
    </row>
    <row r="9" spans="1:6" ht="111" customHeight="1">
      <c r="A9" s="1148" t="s">
        <v>4025</v>
      </c>
    </row>
    <row r="10" spans="1:6" ht="6.6" customHeight="1">
      <c r="A10" s="1149"/>
    </row>
    <row r="11" spans="1:6" ht="111" customHeight="1">
      <c r="A11" s="1148" t="s">
        <v>4002</v>
      </c>
    </row>
    <row r="12" spans="1:6" ht="6.6" customHeight="1">
      <c r="A12" s="1149"/>
    </row>
    <row r="13" spans="1:6" ht="111" customHeight="1">
      <c r="A13" s="1148" t="s">
        <v>4003</v>
      </c>
    </row>
    <row r="14" spans="1:6" ht="6.6" customHeight="1">
      <c r="A14" s="1149"/>
    </row>
    <row r="15" spans="1:6" ht="111" customHeight="1">
      <c r="A15" s="1148" t="s">
        <v>4024</v>
      </c>
    </row>
    <row r="16" spans="1:6" ht="6.6" customHeight="1">
      <c r="A16" s="1149"/>
    </row>
    <row r="17" spans="1:1" ht="111" customHeight="1">
      <c r="A17" s="1148" t="s">
        <v>4004</v>
      </c>
    </row>
    <row r="18" spans="1:1" ht="6.6" customHeight="1">
      <c r="A18" s="1149"/>
    </row>
    <row r="19" spans="1:1" ht="111" customHeight="1">
      <c r="A19" s="1148" t="s">
        <v>4005</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C12" sqref="C12"/>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- 2011-030 Water Tower Park Apartments, Gray, Jones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653</v>
      </c>
      <c r="L3" s="459"/>
      <c r="M3" s="798" t="s">
        <v>2729</v>
      </c>
      <c r="N3" s="798"/>
      <c r="O3" s="798"/>
      <c r="P3" s="798"/>
    </row>
    <row r="4" spans="1:16" s="458" customFormat="1" ht="12" customHeight="1" thickBot="1">
      <c r="A4" s="733"/>
      <c r="B4" s="461"/>
      <c r="C4" s="461"/>
      <c r="D4" s="462"/>
      <c r="E4" s="401" t="s">
        <v>654</v>
      </c>
      <c r="H4" s="723"/>
      <c r="I4" s="723"/>
      <c r="J4" s="723"/>
      <c r="M4" s="723"/>
      <c r="O4" s="1524" t="s">
        <v>4035</v>
      </c>
      <c r="P4" s="1525"/>
    </row>
    <row r="5" spans="1:16" s="458" customFormat="1" ht="12" customHeight="1">
      <c r="A5" s="733"/>
      <c r="B5" s="461"/>
      <c r="C5" s="461"/>
      <c r="D5" s="461"/>
      <c r="E5" s="723"/>
      <c r="H5" s="723"/>
      <c r="I5" s="723"/>
      <c r="J5" s="723"/>
      <c r="K5" s="395"/>
      <c r="M5" s="723"/>
    </row>
    <row r="6" spans="1:16" s="458" customFormat="1" ht="13.15" customHeight="1">
      <c r="A6" s="461" t="s">
        <v>950</v>
      </c>
      <c r="C6" s="461" t="s">
        <v>3588</v>
      </c>
      <c r="D6" s="418"/>
      <c r="E6" s="463"/>
      <c r="F6" s="464" t="s">
        <v>2740</v>
      </c>
      <c r="J6" s="788">
        <f>'Part IV-Uses of Funds'!J165</f>
        <v>566468.73</v>
      </c>
      <c r="K6" s="789"/>
    </row>
    <row r="7" spans="1:16" s="2" customFormat="1" ht="13.15" customHeight="1">
      <c r="A7" s="5"/>
      <c r="C7" s="5"/>
      <c r="D7" s="31"/>
      <c r="E7" s="563"/>
      <c r="F7" s="458" t="s">
        <v>1982</v>
      </c>
      <c r="J7" s="782">
        <f>'Part III A-Sources of Funds'!J5</f>
        <v>0</v>
      </c>
      <c r="K7" s="783"/>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3130</v>
      </c>
      <c r="F9" s="1170" t="s">
        <v>3920</v>
      </c>
      <c r="G9" s="1171"/>
      <c r="H9" s="1172"/>
      <c r="I9" s="1526" t="s">
        <v>1230</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3440</v>
      </c>
      <c r="F13" s="1443" t="s">
        <v>3947</v>
      </c>
      <c r="G13" s="1444"/>
      <c r="H13" s="1444"/>
      <c r="I13" s="1444"/>
      <c r="J13" s="1444"/>
      <c r="K13" s="1444"/>
      <c r="L13" s="1445"/>
      <c r="M13" s="713" t="s">
        <v>3055</v>
      </c>
      <c r="N13" s="1443" t="s">
        <v>3946</v>
      </c>
      <c r="O13" s="1444"/>
      <c r="P13" s="1445"/>
    </row>
    <row r="14" spans="1:16" s="458" customFormat="1" ht="13.15" customHeight="1">
      <c r="C14" s="464" t="s">
        <v>3056</v>
      </c>
      <c r="F14" s="1443" t="s">
        <v>4006</v>
      </c>
      <c r="G14" s="1444"/>
      <c r="H14" s="1444"/>
      <c r="I14" s="1444"/>
      <c r="J14" s="1444"/>
      <c r="K14" s="1444"/>
      <c r="L14" s="1445"/>
      <c r="M14" s="713" t="s">
        <v>2746</v>
      </c>
      <c r="O14" s="1527">
        <v>7049890976</v>
      </c>
      <c r="P14" s="1528"/>
    </row>
    <row r="15" spans="1:16" s="458" customFormat="1" ht="13.15" customHeight="1">
      <c r="C15" s="464" t="s">
        <v>953</v>
      </c>
      <c r="F15" s="1458" t="s">
        <v>3942</v>
      </c>
      <c r="G15" s="1394"/>
      <c r="H15" s="1395"/>
      <c r="M15" s="713" t="s">
        <v>2832</v>
      </c>
      <c r="O15" s="1474">
        <v>7042884406</v>
      </c>
      <c r="P15" s="1476"/>
    </row>
    <row r="16" spans="1:16" s="458" customFormat="1" ht="13.15" customHeight="1">
      <c r="C16" s="464" t="s">
        <v>2829</v>
      </c>
      <c r="F16" s="1529" t="s">
        <v>2051</v>
      </c>
      <c r="I16" s="723" t="s">
        <v>3352</v>
      </c>
      <c r="J16" s="1477">
        <v>282734036</v>
      </c>
      <c r="K16" s="1530"/>
      <c r="M16" s="713" t="s">
        <v>3054</v>
      </c>
      <c r="O16" s="1474">
        <v>7049890976</v>
      </c>
      <c r="P16" s="1476"/>
    </row>
    <row r="17" spans="1:16" s="458" customFormat="1" ht="13.15" customHeight="1">
      <c r="B17" s="721"/>
      <c r="C17" s="464" t="s">
        <v>2745</v>
      </c>
      <c r="F17" s="1474">
        <v>7049191839</v>
      </c>
      <c r="G17" s="1475"/>
      <c r="H17" s="1476"/>
      <c r="I17" s="717" t="s">
        <v>2744</v>
      </c>
      <c r="J17" s="1440"/>
      <c r="K17" s="723" t="s">
        <v>3059</v>
      </c>
      <c r="L17" s="1443" t="s">
        <v>3948</v>
      </c>
      <c r="M17" s="1444"/>
      <c r="N17" s="1444"/>
      <c r="O17" s="1444"/>
      <c r="P17" s="1445"/>
    </row>
    <row r="18" spans="1:16" s="458" customFormat="1" ht="13.15" customHeight="1">
      <c r="A18" s="461"/>
      <c r="B18" s="463"/>
      <c r="C18" s="441" t="s">
        <v>997</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2822</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81" t="s">
        <v>3925</v>
      </c>
      <c r="G22" s="1482"/>
      <c r="H22" s="1482"/>
      <c r="I22" s="1482"/>
      <c r="J22" s="1482"/>
      <c r="K22" s="1482"/>
      <c r="L22" s="1483"/>
      <c r="M22" s="713" t="s">
        <v>3298</v>
      </c>
      <c r="O22" s="1443" t="s">
        <v>3919</v>
      </c>
      <c r="P22" s="1445"/>
    </row>
    <row r="23" spans="1:16" s="458" customFormat="1" ht="13.15" customHeight="1">
      <c r="A23" s="471"/>
      <c r="B23" s="461"/>
      <c r="C23" s="458" t="s">
        <v>952</v>
      </c>
      <c r="D23" s="472"/>
      <c r="F23" s="1443" t="s">
        <v>3926</v>
      </c>
      <c r="G23" s="1444"/>
      <c r="H23" s="1444"/>
      <c r="I23" s="1444"/>
      <c r="J23" s="1444"/>
      <c r="K23" s="1444"/>
      <c r="L23" s="1445"/>
      <c r="M23" s="713" t="s">
        <v>3144</v>
      </c>
      <c r="O23" s="1443" t="s">
        <v>3919</v>
      </c>
      <c r="P23" s="1445"/>
    </row>
    <row r="24" spans="1:16" s="458" customFormat="1" ht="13.15" customHeight="1">
      <c r="A24" s="733"/>
      <c r="B24" s="461"/>
      <c r="C24" s="458" t="s">
        <v>953</v>
      </c>
      <c r="F24" s="1443" t="s">
        <v>1593</v>
      </c>
      <c r="G24" s="1444"/>
      <c r="H24" s="1445"/>
      <c r="I24" s="723" t="s">
        <v>445</v>
      </c>
      <c r="J24" s="1477">
        <v>310325936</v>
      </c>
      <c r="K24" s="1530"/>
      <c r="L24" s="550" t="str">
        <f>IF(AND(NOT(F22=""),NOT(F24="Select from list"),J24=""),"Enter Zip!","")</f>
        <v/>
      </c>
      <c r="M24" s="713" t="s">
        <v>3414</v>
      </c>
      <c r="O24" s="1531" t="s">
        <v>4018</v>
      </c>
      <c r="P24" s="1445"/>
    </row>
    <row r="25" spans="1:16" s="458" customFormat="1" ht="13.15" customHeight="1">
      <c r="A25" s="733"/>
      <c r="B25" s="461"/>
      <c r="C25" s="781" t="s">
        <v>3143</v>
      </c>
      <c r="D25" s="781"/>
      <c r="F25" s="1532" t="s">
        <v>3919</v>
      </c>
      <c r="I25" s="504" t="s">
        <v>954</v>
      </c>
      <c r="J25" s="1533" t="str">
        <f>IF($F$24="","",VLOOKUP($F$24,$N$183:$O$786,2,FALSE))</f>
        <v>Jones</v>
      </c>
      <c r="K25" s="1534"/>
      <c r="M25" s="474" t="s">
        <v>3433</v>
      </c>
      <c r="O25" s="1443">
        <v>303.01</v>
      </c>
      <c r="P25" s="1535"/>
    </row>
    <row r="26" spans="1:16" s="458" customFormat="1" ht="13.15" customHeight="1">
      <c r="A26" s="733"/>
      <c r="B26" s="461"/>
      <c r="C26" s="458" t="s">
        <v>2313</v>
      </c>
      <c r="F26" s="1536" t="s">
        <v>3918</v>
      </c>
      <c r="G26" s="475"/>
      <c r="I26" s="466" t="s">
        <v>885</v>
      </c>
      <c r="J26" s="1537" t="str">
        <f>IF($F$24="","",VLOOKUP($J$25,$C$183:$H$342,3,FALSE))</f>
        <v>Macon</v>
      </c>
      <c r="K26" s="1538"/>
      <c r="L26" s="1539"/>
      <c r="M26" s="713" t="s">
        <v>665</v>
      </c>
      <c r="N26" s="1540" t="s">
        <v>3919</v>
      </c>
      <c r="O26" s="466" t="s">
        <v>666</v>
      </c>
      <c r="P26" s="1540" t="s">
        <v>3919</v>
      </c>
    </row>
    <row r="27" spans="1:16" s="458" customFormat="1" ht="3" customHeight="1">
      <c r="A27" s="733"/>
      <c r="B27" s="461"/>
      <c r="C27" s="461"/>
      <c r="I27" s="464"/>
      <c r="J27" s="721"/>
      <c r="L27" s="732"/>
      <c r="M27" s="732"/>
      <c r="N27" s="732"/>
      <c r="O27" s="732"/>
      <c r="P27" s="732"/>
    </row>
    <row r="28" spans="1:16" s="458" customFormat="1" ht="13.15" customHeight="1">
      <c r="A28" s="733"/>
      <c r="B28" s="461"/>
      <c r="F28" s="797" t="s">
        <v>446</v>
      </c>
      <c r="G28" s="797"/>
      <c r="H28" s="797" t="s">
        <v>1225</v>
      </c>
      <c r="I28" s="797"/>
      <c r="J28" s="797" t="s">
        <v>1226</v>
      </c>
      <c r="K28" s="797"/>
      <c r="L28" s="468"/>
    </row>
    <row r="29" spans="1:16" s="458" customFormat="1" ht="13.15" customHeight="1">
      <c r="A29" s="733"/>
      <c r="B29" s="461"/>
      <c r="C29" s="458" t="s">
        <v>955</v>
      </c>
      <c r="D29" s="461"/>
      <c r="F29" s="1541">
        <v>8</v>
      </c>
      <c r="G29" s="1542"/>
      <c r="H29" s="1541">
        <v>18</v>
      </c>
      <c r="I29" s="1542"/>
      <c r="J29" s="1541">
        <v>125</v>
      </c>
      <c r="K29" s="1542"/>
    </row>
    <row r="30" spans="1:16" s="458" customFormat="1" ht="13.15" customHeight="1">
      <c r="A30" s="733"/>
      <c r="B30" s="461"/>
      <c r="C30" s="464" t="s">
        <v>1227</v>
      </c>
      <c r="F30" s="1541"/>
      <c r="G30" s="1542"/>
      <c r="H30" s="1541"/>
      <c r="I30" s="1542"/>
      <c r="J30" s="1541"/>
      <c r="K30" s="1542"/>
    </row>
    <row r="31" spans="1:16" s="458" customFormat="1" ht="3" customHeight="1">
      <c r="A31" s="733"/>
      <c r="B31" s="461"/>
      <c r="I31" s="732"/>
      <c r="J31" s="732"/>
      <c r="K31" s="732"/>
      <c r="M31" s="721"/>
      <c r="N31" s="721"/>
      <c r="O31" s="721"/>
      <c r="P31" s="721"/>
    </row>
    <row r="32" spans="1:16" s="458" customFormat="1" ht="13.15" customHeight="1">
      <c r="A32" s="733"/>
      <c r="B32" s="733"/>
      <c r="C32" s="461" t="s">
        <v>973</v>
      </c>
      <c r="F32" s="1543" t="s">
        <v>3927</v>
      </c>
      <c r="G32" s="1544"/>
      <c r="H32" s="1544"/>
      <c r="I32" s="1544"/>
      <c r="J32" s="1544"/>
      <c r="K32" s="1545"/>
      <c r="L32" s="476"/>
      <c r="M32" s="476"/>
      <c r="N32" s="476"/>
    </row>
    <row r="33" spans="1:19" s="458" customFormat="1" ht="13.15" customHeight="1">
      <c r="A33" s="733"/>
      <c r="B33" s="733"/>
      <c r="C33" s="458" t="s">
        <v>974</v>
      </c>
      <c r="F33" s="1546" t="s">
        <v>3928</v>
      </c>
      <c r="G33" s="1547"/>
      <c r="H33" s="1547"/>
      <c r="I33" s="1547"/>
      <c r="J33" s="1548"/>
      <c r="K33" s="477" t="s">
        <v>3055</v>
      </c>
      <c r="L33" s="1543" t="s">
        <v>3929</v>
      </c>
      <c r="M33" s="1544"/>
      <c r="N33" s="1545"/>
    </row>
    <row r="34" spans="1:19" s="458" customFormat="1" ht="13.15" customHeight="1">
      <c r="A34" s="733"/>
      <c r="B34" s="733"/>
      <c r="C34" s="458" t="s">
        <v>3056</v>
      </c>
      <c r="F34" s="1543" t="s">
        <v>3930</v>
      </c>
      <c r="G34" s="1544"/>
      <c r="H34" s="1544"/>
      <c r="I34" s="1544"/>
      <c r="J34" s="1545"/>
      <c r="K34" s="478" t="s">
        <v>953</v>
      </c>
      <c r="L34" s="1443" t="s">
        <v>1593</v>
      </c>
      <c r="M34" s="1444"/>
      <c r="N34" s="1445"/>
    </row>
    <row r="35" spans="1:19" s="458" customFormat="1" ht="13.15" customHeight="1">
      <c r="A35" s="733"/>
      <c r="B35" s="733"/>
      <c r="C35" s="713" t="s">
        <v>3352</v>
      </c>
      <c r="F35" s="1549">
        <v>306775539</v>
      </c>
      <c r="G35" s="1550"/>
      <c r="H35" s="717" t="s">
        <v>3057</v>
      </c>
      <c r="I35" s="1480">
        <v>7067695161</v>
      </c>
      <c r="J35" s="1551"/>
      <c r="K35" s="1552"/>
      <c r="L35" s="717" t="s">
        <v>2832</v>
      </c>
      <c r="M35" s="1480">
        <v>4789866462</v>
      </c>
      <c r="N35" s="1552"/>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2824</v>
      </c>
      <c r="C37" s="461" t="s">
        <v>2208</v>
      </c>
      <c r="F37" s="481"/>
      <c r="I37" s="464"/>
      <c r="J37" s="683" t="s">
        <v>1974</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3058</v>
      </c>
      <c r="C39" s="461" t="s">
        <v>3435</v>
      </c>
      <c r="F39" s="1440" t="s">
        <v>3919</v>
      </c>
      <c r="J39" s="605" t="s">
        <v>1971</v>
      </c>
      <c r="K39" s="721"/>
      <c r="L39" s="780" t="s">
        <v>1972</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3061</v>
      </c>
      <c r="C41" s="461" t="s">
        <v>1083</v>
      </c>
      <c r="J41" s="608" t="s">
        <v>1975</v>
      </c>
      <c r="K41" s="609"/>
      <c r="L41" s="784" t="s">
        <v>1970</v>
      </c>
      <c r="M41" s="784"/>
      <c r="N41" s="784"/>
      <c r="O41" s="784"/>
      <c r="P41" s="785"/>
      <c r="Q41" s="723"/>
    </row>
    <row r="42" spans="1:19" ht="13.15" customHeight="1">
      <c r="B42" s="733"/>
      <c r="C42" s="458" t="s">
        <v>3434</v>
      </c>
      <c r="D42" s="458"/>
      <c r="E42" s="458"/>
      <c r="F42" s="483">
        <f>'Part VI-Revenues &amp; Expenses'!$M$75</f>
        <v>48</v>
      </c>
      <c r="J42" s="398"/>
      <c r="L42" s="458"/>
      <c r="Q42" s="723"/>
    </row>
    <row r="43" spans="1:19" s="458" customFormat="1" ht="13.15" customHeight="1">
      <c r="A43" s="733"/>
      <c r="B43" s="733"/>
      <c r="C43" s="464" t="s">
        <v>468</v>
      </c>
      <c r="D43" s="721"/>
      <c r="F43" s="483">
        <f>'Part VI-Revenues &amp; Expenses'!$M$82</f>
        <v>0</v>
      </c>
      <c r="Q43" s="723"/>
    </row>
    <row r="44" spans="1:19" s="458" customFormat="1" ht="13.15" customHeight="1">
      <c r="A44" s="733"/>
      <c r="B44" s="733"/>
      <c r="C44" s="464" t="s">
        <v>442</v>
      </c>
      <c r="D44" s="721"/>
      <c r="F44" s="483">
        <f>'Part VI-Revenues &amp; Expenses'!$M$78</f>
        <v>0</v>
      </c>
      <c r="G44" s="458" t="s">
        <v>444</v>
      </c>
      <c r="L44" s="1553"/>
      <c r="M44" s="482"/>
      <c r="N44" s="482"/>
      <c r="O44" s="482"/>
      <c r="P44" s="482"/>
      <c r="Q44" s="723"/>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0</v>
      </c>
      <c r="P46" s="721"/>
    </row>
    <row r="47" spans="1:19" s="458" customFormat="1" ht="3.6" customHeight="1">
      <c r="A47" s="733"/>
      <c r="P47" s="721"/>
    </row>
    <row r="48" spans="1:19" s="458" customFormat="1" ht="13.15" customHeight="1">
      <c r="A48" s="733"/>
      <c r="B48" s="471" t="s">
        <v>1238</v>
      </c>
      <c r="C48" s="470" t="s">
        <v>3406</v>
      </c>
      <c r="D48" s="721"/>
      <c r="I48" s="799" t="s">
        <v>2130</v>
      </c>
      <c r="J48" s="471" t="s">
        <v>3210</v>
      </c>
      <c r="K48" s="485" t="s">
        <v>3441</v>
      </c>
      <c r="M48" s="721"/>
      <c r="N48" s="721"/>
      <c r="O48" s="721"/>
      <c r="P48" s="723"/>
      <c r="Q48" s="723"/>
      <c r="R48" s="723"/>
      <c r="S48" s="721"/>
    </row>
    <row r="49" spans="1:16" s="458" customFormat="1" ht="13.15" customHeight="1">
      <c r="A49" s="733"/>
      <c r="B49" s="715"/>
      <c r="C49" s="468" t="s">
        <v>3407</v>
      </c>
      <c r="D49" s="721"/>
      <c r="E49" s="721"/>
      <c r="H49" s="486">
        <f>SUM(H50:H51)</f>
        <v>48</v>
      </c>
      <c r="I49" s="800"/>
      <c r="J49" s="733"/>
      <c r="K49" s="468" t="s">
        <v>3442</v>
      </c>
      <c r="M49" s="721"/>
      <c r="N49" s="721"/>
      <c r="O49" s="721"/>
      <c r="P49" s="486">
        <f>'Part VI-Revenues &amp; Expenses'!$M$94</f>
        <v>47530</v>
      </c>
    </row>
    <row r="50" spans="1:16" s="458" customFormat="1" ht="13.15" customHeight="1">
      <c r="A50" s="733"/>
      <c r="B50" s="482"/>
      <c r="D50" s="487" t="s">
        <v>489</v>
      </c>
      <c r="E50" s="487"/>
      <c r="H50" s="486">
        <f>'Part VI-Revenues &amp; Expenses'!$M$58</f>
        <v>8</v>
      </c>
      <c r="I50" s="486">
        <f>'Part VI-Revenues &amp; Expenses'!$M$66</f>
        <v>0</v>
      </c>
      <c r="K50" s="468" t="s">
        <v>326</v>
      </c>
      <c r="M50" s="721"/>
      <c r="N50" s="721"/>
      <c r="O50" s="721"/>
      <c r="P50" s="486">
        <f>'Part VI-Revenues &amp; Expenses'!$M$95</f>
        <v>0</v>
      </c>
    </row>
    <row r="51" spans="1:16" s="458" customFormat="1" ht="13.15" customHeight="1">
      <c r="A51" s="733"/>
      <c r="D51" s="487" t="s">
        <v>2862</v>
      </c>
      <c r="E51" s="487"/>
      <c r="H51" s="486">
        <f>'Part VI-Revenues &amp; Expenses'!$M$57</f>
        <v>40</v>
      </c>
      <c r="I51" s="486">
        <f>'Part VI-Revenues &amp; Expenses'!$M$65</f>
        <v>0</v>
      </c>
      <c r="K51" s="468" t="s">
        <v>3443</v>
      </c>
      <c r="M51" s="721"/>
      <c r="N51" s="721"/>
      <c r="O51" s="721"/>
      <c r="P51" s="486">
        <f>+P49+P50</f>
        <v>47530</v>
      </c>
    </row>
    <row r="52" spans="1:16" s="458" customFormat="1" ht="13.15" customHeight="1">
      <c r="A52" s="733"/>
      <c r="C52" s="468" t="s">
        <v>327</v>
      </c>
      <c r="D52" s="721"/>
      <c r="E52" s="721"/>
      <c r="H52" s="486">
        <f>'Part VI-Revenues &amp; Expenses'!$M$60</f>
        <v>0</v>
      </c>
      <c r="J52" s="733"/>
      <c r="K52" s="468" t="s">
        <v>2133</v>
      </c>
      <c r="M52" s="721"/>
      <c r="N52" s="721"/>
      <c r="O52" s="721"/>
      <c r="P52" s="486">
        <f>'Part VI-Revenues &amp; Expenses'!$M$97</f>
        <v>0</v>
      </c>
    </row>
    <row r="53" spans="1:16" s="458" customFormat="1" ht="13.15" customHeight="1">
      <c r="A53" s="733"/>
      <c r="C53" s="468" t="s">
        <v>3648</v>
      </c>
      <c r="D53" s="721"/>
      <c r="E53" s="721"/>
      <c r="H53" s="486">
        <f>+H49+H52</f>
        <v>48</v>
      </c>
      <c r="J53" s="733"/>
      <c r="K53" s="468" t="s">
        <v>2132</v>
      </c>
      <c r="M53" s="721"/>
      <c r="N53" s="721"/>
      <c r="O53" s="721"/>
      <c r="P53" s="486">
        <f>+P51+P52</f>
        <v>47530</v>
      </c>
    </row>
    <row r="54" spans="1:16" s="458" customFormat="1" ht="13.15" customHeight="1">
      <c r="A54" s="733"/>
      <c r="C54" s="468" t="s">
        <v>3649</v>
      </c>
      <c r="D54" s="721"/>
      <c r="E54" s="721"/>
      <c r="H54" s="486">
        <f>'Part VI-Revenues &amp; Expenses'!$M$62</f>
        <v>0</v>
      </c>
      <c r="J54" s="733"/>
    </row>
    <row r="55" spans="1:16" s="458" customFormat="1" ht="13.15" customHeight="1">
      <c r="A55" s="733"/>
      <c r="C55" s="468" t="s">
        <v>2823</v>
      </c>
      <c r="D55" s="721"/>
      <c r="E55" s="721"/>
      <c r="H55" s="486">
        <f>+H53+H54</f>
        <v>48</v>
      </c>
      <c r="J55" s="721"/>
    </row>
    <row r="56" spans="1:16" s="458" customFormat="1" ht="3" customHeight="1">
      <c r="A56" s="733"/>
      <c r="I56" s="723"/>
      <c r="L56" s="723"/>
      <c r="M56" s="723"/>
      <c r="N56" s="721"/>
      <c r="P56" s="469"/>
    </row>
    <row r="57" spans="1:16" s="458" customFormat="1" ht="13.15" customHeight="1">
      <c r="A57" s="733"/>
      <c r="B57" s="733" t="s">
        <v>2762</v>
      </c>
      <c r="C57" s="470" t="s">
        <v>3436</v>
      </c>
      <c r="D57" s="487" t="s">
        <v>3072</v>
      </c>
      <c r="G57" s="721"/>
      <c r="H57" s="1554">
        <v>2</v>
      </c>
      <c r="K57" s="468" t="s">
        <v>1759</v>
      </c>
      <c r="O57" s="721"/>
      <c r="P57" s="1554">
        <v>1737</v>
      </c>
    </row>
    <row r="58" spans="1:16" s="458" customFormat="1" ht="13.15" customHeight="1">
      <c r="A58" s="733"/>
      <c r="B58" s="733"/>
      <c r="D58" s="715" t="s">
        <v>3073</v>
      </c>
      <c r="H58" s="1554">
        <v>1</v>
      </c>
      <c r="I58" s="721"/>
      <c r="K58" s="468" t="s">
        <v>325</v>
      </c>
      <c r="O58" s="721"/>
      <c r="P58" s="486">
        <f>+P53+P57</f>
        <v>49267</v>
      </c>
    </row>
    <row r="59" spans="1:16" s="458" customFormat="1" ht="13.15" customHeight="1">
      <c r="A59" s="733"/>
      <c r="B59" s="733"/>
      <c r="D59" s="715" t="s">
        <v>3074</v>
      </c>
      <c r="H59" s="486">
        <f>+H57+H58</f>
        <v>3</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2763</v>
      </c>
      <c r="C61" s="470" t="s">
        <v>1084</v>
      </c>
      <c r="D61" s="721"/>
      <c r="E61" s="721"/>
      <c r="F61" s="721"/>
      <c r="G61" s="721"/>
      <c r="H61" s="1554">
        <v>105</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822</v>
      </c>
      <c r="C63" s="488" t="s">
        <v>1836</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3058</v>
      </c>
      <c r="C65" s="395" t="s">
        <v>2272</v>
      </c>
      <c r="D65" s="716"/>
      <c r="E65" s="716"/>
      <c r="F65" s="721"/>
      <c r="G65" s="723"/>
      <c r="H65" s="1555" t="s">
        <v>3931</v>
      </c>
      <c r="I65" s="1556"/>
      <c r="K65" s="781" t="s">
        <v>2801</v>
      </c>
      <c r="L65" s="781"/>
      <c r="N65" s="1443"/>
      <c r="O65" s="1444"/>
      <c r="P65" s="1445"/>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3061</v>
      </c>
      <c r="C67" s="470" t="s">
        <v>2121</v>
      </c>
      <c r="D67" s="721"/>
      <c r="E67" s="487"/>
      <c r="G67" s="489" t="s">
        <v>1378</v>
      </c>
      <c r="H67" s="1554">
        <v>3</v>
      </c>
      <c r="K67" s="781" t="s">
        <v>812</v>
      </c>
      <c r="L67" s="781"/>
      <c r="P67" s="490">
        <f>IF('Part VI-Revenues &amp; Expenses'!$M$63=0,0,$H67/'Part VI-Revenues &amp; Expenses'!$M$63)</f>
        <v>6.25E-2</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1238</v>
      </c>
      <c r="C69" s="470" t="s">
        <v>2889</v>
      </c>
      <c r="D69" s="487"/>
      <c r="E69" s="487"/>
      <c r="G69" s="489" t="s">
        <v>1378</v>
      </c>
      <c r="H69" s="1554">
        <v>1</v>
      </c>
      <c r="K69" s="781" t="s">
        <v>812</v>
      </c>
      <c r="L69" s="781"/>
      <c r="P69" s="490">
        <f>IF('Part VI-Revenues &amp; Expenses'!$M$63=0,0,$H69/'Part VI-Revenues &amp; Expenses'!$M$63)</f>
        <v>2.0833333333333332E-2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3210</v>
      </c>
      <c r="C71" s="470" t="s">
        <v>1977</v>
      </c>
      <c r="D71" s="487"/>
      <c r="E71" s="487"/>
      <c r="G71" s="489" t="s">
        <v>1978</v>
      </c>
      <c r="H71" s="1554">
        <v>3</v>
      </c>
      <c r="K71" s="781" t="s">
        <v>812</v>
      </c>
      <c r="L71" s="781"/>
      <c r="P71" s="490">
        <f>IF('Part VI-Revenues &amp; Expenses'!$M$63=0,0,$H71/'Part VI-Revenues &amp; Expenses'!$M$63)</f>
        <v>6.25E-2</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1347</v>
      </c>
      <c r="B73" s="733"/>
      <c r="C73" s="716" t="s">
        <v>3590</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3058</v>
      </c>
      <c r="C75" s="395" t="s">
        <v>3589</v>
      </c>
      <c r="D75" s="715"/>
      <c r="E75" s="715"/>
      <c r="F75" s="715"/>
      <c r="H75" s="1557" t="s">
        <v>1460</v>
      </c>
      <c r="I75" s="1558"/>
      <c r="J75" s="1559"/>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3061</v>
      </c>
      <c r="C77" s="461" t="s">
        <v>2285</v>
      </c>
      <c r="K77" s="464" t="s">
        <v>1459</v>
      </c>
      <c r="N77" s="492"/>
      <c r="P77" s="1440"/>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385</v>
      </c>
      <c r="B79" s="733"/>
      <c r="C79" s="716" t="s">
        <v>3131</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1440"/>
      <c r="F81" s="487" t="s">
        <v>3912</v>
      </c>
      <c r="H81" s="1440" t="s">
        <v>3918</v>
      </c>
      <c r="I81" s="713" t="s">
        <v>3911</v>
      </c>
      <c r="K81" s="1440"/>
      <c r="L81" s="458" t="s">
        <v>144</v>
      </c>
    </row>
    <row r="82" spans="1:16" s="458" customFormat="1" ht="13.15" customHeight="1">
      <c r="A82" s="733"/>
      <c r="B82" s="733"/>
      <c r="D82" s="480"/>
      <c r="E82" s="1440"/>
      <c r="F82" s="713" t="s">
        <v>650</v>
      </c>
      <c r="H82" s="1440"/>
      <c r="I82" s="715" t="s">
        <v>3231</v>
      </c>
      <c r="K82" s="1440"/>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1834</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847</v>
      </c>
      <c r="D86" s="721"/>
      <c r="E86" s="1443"/>
      <c r="F86" s="1444"/>
      <c r="G86" s="1444"/>
      <c r="H86" s="1444"/>
      <c r="I86" s="1444"/>
      <c r="J86" s="1444"/>
      <c r="K86" s="1444"/>
      <c r="L86" s="1445"/>
      <c r="M86" s="793" t="s">
        <v>848</v>
      </c>
      <c r="N86" s="793"/>
      <c r="O86" s="1560"/>
      <c r="P86" s="1561"/>
    </row>
    <row r="87" spans="1:16" s="458" customFormat="1" ht="13.15" customHeight="1">
      <c r="C87" s="464" t="s">
        <v>1641</v>
      </c>
      <c r="D87" s="472"/>
      <c r="E87" s="1443"/>
      <c r="F87" s="1444"/>
      <c r="G87" s="1444"/>
      <c r="H87" s="1444"/>
      <c r="I87" s="1444"/>
      <c r="J87" s="1444"/>
      <c r="K87" s="1444"/>
      <c r="L87" s="1445"/>
      <c r="M87" s="793" t="s">
        <v>1390</v>
      </c>
      <c r="N87" s="793"/>
      <c r="O87" s="1481"/>
      <c r="P87" s="1483"/>
    </row>
    <row r="88" spans="1:16" s="458" customFormat="1" ht="13.15" customHeight="1">
      <c r="C88" s="464" t="s">
        <v>953</v>
      </c>
      <c r="E88" s="1443"/>
      <c r="F88" s="1190"/>
      <c r="G88" s="1191"/>
      <c r="H88" s="717" t="s">
        <v>2829</v>
      </c>
      <c r="I88" s="1440"/>
      <c r="J88" s="493" t="s">
        <v>3352</v>
      </c>
      <c r="K88" s="1477"/>
      <c r="L88" s="1191"/>
      <c r="M88" s="418"/>
      <c r="N88" s="418"/>
      <c r="O88" s="418"/>
      <c r="P88" s="418"/>
    </row>
    <row r="89" spans="1:16" s="458" customFormat="1" ht="13.15" customHeight="1">
      <c r="C89" s="458" t="s">
        <v>3300</v>
      </c>
      <c r="E89" s="1443"/>
      <c r="F89" s="1190"/>
      <c r="G89" s="1191"/>
      <c r="H89" s="723" t="s">
        <v>3055</v>
      </c>
      <c r="I89" s="1443"/>
      <c r="J89" s="1190"/>
      <c r="K89" s="1191"/>
      <c r="L89" s="735" t="s">
        <v>3059</v>
      </c>
      <c r="M89" s="1443"/>
      <c r="N89" s="1190"/>
      <c r="O89" s="1190"/>
      <c r="P89" s="1191"/>
    </row>
    <row r="90" spans="1:16" s="458" customFormat="1" ht="13.15" customHeight="1">
      <c r="C90" s="464" t="s">
        <v>3299</v>
      </c>
      <c r="E90" s="1474"/>
      <c r="F90" s="1475"/>
      <c r="G90" s="1476"/>
      <c r="H90" s="723" t="s">
        <v>2832</v>
      </c>
      <c r="I90" s="1480"/>
      <c r="J90" s="1191"/>
      <c r="K90" s="493" t="s">
        <v>2833</v>
      </c>
      <c r="L90" s="1480"/>
      <c r="M90" s="1191"/>
      <c r="N90" s="493" t="s">
        <v>3054</v>
      </c>
      <c r="O90" s="1480"/>
      <c r="P90" s="1191"/>
    </row>
    <row r="91" spans="1:16" s="458" customFormat="1" ht="3" customHeight="1">
      <c r="A91" s="733"/>
      <c r="B91" s="733"/>
      <c r="G91" s="480"/>
      <c r="H91" s="723"/>
      <c r="I91" s="723"/>
      <c r="M91" s="469"/>
    </row>
    <row r="92" spans="1:16" s="458" customFormat="1" ht="13.15" customHeight="1">
      <c r="A92" s="491" t="s">
        <v>463</v>
      </c>
      <c r="B92" s="733"/>
      <c r="C92" s="716" t="s">
        <v>2665</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3255</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3058</v>
      </c>
      <c r="C96" s="716" t="s">
        <v>2122</v>
      </c>
      <c r="D96" s="715"/>
      <c r="E96" s="715"/>
      <c r="F96" s="723"/>
      <c r="G96" s="723"/>
      <c r="H96" s="1478">
        <v>1</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3061</v>
      </c>
      <c r="C98" s="716" t="s">
        <v>525</v>
      </c>
      <c r="D98" s="715"/>
      <c r="E98" s="715"/>
      <c r="F98" s="723"/>
      <c r="G98" s="723"/>
      <c r="H98" s="1562">
        <v>566469</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1238</v>
      </c>
      <c r="C100" s="716" t="s">
        <v>395</v>
      </c>
      <c r="D100" s="715"/>
      <c r="E100" s="715"/>
      <c r="F100" s="723"/>
      <c r="G100" s="723"/>
      <c r="H100" s="723"/>
      <c r="I100" s="723"/>
      <c r="J100" s="480"/>
      <c r="K100" s="723"/>
      <c r="L100" s="723"/>
      <c r="N100" s="721"/>
      <c r="O100" s="721"/>
    </row>
    <row r="101" spans="1:16" s="458" customFormat="1" ht="13.15" customHeight="1">
      <c r="B101" s="733"/>
      <c r="C101" s="715" t="s">
        <v>3233</v>
      </c>
      <c r="D101" s="715"/>
      <c r="F101" s="715" t="s">
        <v>1773</v>
      </c>
      <c r="G101" s="723"/>
      <c r="H101" s="723"/>
      <c r="I101" s="723"/>
      <c r="J101" s="715" t="s">
        <v>3233</v>
      </c>
      <c r="K101" s="715"/>
      <c r="M101" s="715" t="s">
        <v>1773</v>
      </c>
      <c r="N101" s="723"/>
      <c r="O101" s="723"/>
      <c r="P101" s="723"/>
    </row>
    <row r="102" spans="1:16" s="458" customFormat="1" ht="13.15" customHeight="1">
      <c r="A102" s="733"/>
      <c r="B102" s="733"/>
      <c r="C102" s="1563" t="s">
        <v>3932</v>
      </c>
      <c r="D102" s="1564"/>
      <c r="E102" s="1564"/>
      <c r="F102" s="1564" t="s">
        <v>3925</v>
      </c>
      <c r="G102" s="1564"/>
      <c r="H102" s="1564"/>
      <c r="I102" s="1565"/>
      <c r="J102" s="1563">
        <v>8</v>
      </c>
      <c r="K102" s="1564"/>
      <c r="L102" s="1564"/>
      <c r="M102" s="1564"/>
      <c r="N102" s="1564"/>
      <c r="O102" s="1564"/>
      <c r="P102" s="1565"/>
    </row>
    <row r="103" spans="1:16" s="458" customFormat="1" ht="13.15" customHeight="1">
      <c r="A103" s="733"/>
      <c r="B103" s="733"/>
      <c r="C103" s="1566" t="s">
        <v>3933</v>
      </c>
      <c r="D103" s="1567"/>
      <c r="E103" s="1567"/>
      <c r="F103" s="1567" t="s">
        <v>3925</v>
      </c>
      <c r="G103" s="1567"/>
      <c r="H103" s="1567"/>
      <c r="I103" s="1568"/>
      <c r="J103" s="1566">
        <v>9</v>
      </c>
      <c r="K103" s="1567"/>
      <c r="L103" s="1567"/>
      <c r="M103" s="1567"/>
      <c r="N103" s="1567"/>
      <c r="O103" s="1567"/>
      <c r="P103" s="1568"/>
    </row>
    <row r="104" spans="1:16" s="458" customFormat="1" ht="13.15" customHeight="1">
      <c r="A104" s="733"/>
      <c r="B104" s="733"/>
      <c r="C104" s="1566">
        <v>3</v>
      </c>
      <c r="D104" s="1567"/>
      <c r="E104" s="1567"/>
      <c r="F104" s="1567"/>
      <c r="G104" s="1567"/>
      <c r="H104" s="1567"/>
      <c r="I104" s="1568"/>
      <c r="J104" s="1566">
        <v>10</v>
      </c>
      <c r="K104" s="1567"/>
      <c r="L104" s="1567"/>
      <c r="M104" s="1567"/>
      <c r="N104" s="1567"/>
      <c r="O104" s="1567"/>
      <c r="P104" s="1568"/>
    </row>
    <row r="105" spans="1:16" s="458" customFormat="1" ht="13.15" customHeight="1">
      <c r="A105" s="733"/>
      <c r="B105" s="733"/>
      <c r="C105" s="1566">
        <v>4</v>
      </c>
      <c r="D105" s="1567"/>
      <c r="E105" s="1567"/>
      <c r="F105" s="1567"/>
      <c r="G105" s="1567"/>
      <c r="H105" s="1567"/>
      <c r="I105" s="1568"/>
      <c r="J105" s="1566">
        <v>11</v>
      </c>
      <c r="K105" s="1567"/>
      <c r="L105" s="1567"/>
      <c r="M105" s="1567"/>
      <c r="N105" s="1567"/>
      <c r="O105" s="1567"/>
      <c r="P105" s="1568"/>
    </row>
    <row r="106" spans="1:16" s="458" customFormat="1" ht="13.15" customHeight="1">
      <c r="A106" s="733"/>
      <c r="B106" s="733"/>
      <c r="C106" s="1566">
        <v>5</v>
      </c>
      <c r="D106" s="1567"/>
      <c r="E106" s="1567"/>
      <c r="F106" s="1567"/>
      <c r="G106" s="1567"/>
      <c r="H106" s="1567"/>
      <c r="I106" s="1568"/>
      <c r="J106" s="1566">
        <v>12</v>
      </c>
      <c r="K106" s="1567"/>
      <c r="L106" s="1567"/>
      <c r="M106" s="1567"/>
      <c r="N106" s="1567"/>
      <c r="O106" s="1567"/>
      <c r="P106" s="1568"/>
    </row>
    <row r="107" spans="1:16" s="458" customFormat="1" ht="13.15" customHeight="1">
      <c r="A107" s="733"/>
      <c r="B107" s="733"/>
      <c r="C107" s="1566">
        <v>6</v>
      </c>
      <c r="D107" s="1567"/>
      <c r="E107" s="1567"/>
      <c r="F107" s="1567"/>
      <c r="G107" s="1567"/>
      <c r="H107" s="1567"/>
      <c r="I107" s="1568"/>
      <c r="J107" s="1566">
        <v>13</v>
      </c>
      <c r="K107" s="1567"/>
      <c r="L107" s="1567"/>
      <c r="M107" s="1567"/>
      <c r="N107" s="1567"/>
      <c r="O107" s="1567"/>
      <c r="P107" s="1568"/>
    </row>
    <row r="108" spans="1:16" s="458" customFormat="1" ht="13.15" customHeight="1">
      <c r="A108" s="733"/>
      <c r="B108" s="733"/>
      <c r="C108" s="1569">
        <v>7</v>
      </c>
      <c r="D108" s="1570"/>
      <c r="E108" s="1570"/>
      <c r="F108" s="1570"/>
      <c r="G108" s="1570"/>
      <c r="H108" s="1570"/>
      <c r="I108" s="1571"/>
      <c r="J108" s="1569">
        <v>14</v>
      </c>
      <c r="K108" s="1570"/>
      <c r="L108" s="1570"/>
      <c r="M108" s="1570"/>
      <c r="N108" s="1570"/>
      <c r="O108" s="1570"/>
      <c r="P108" s="1571"/>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3210</v>
      </c>
      <c r="C110" s="801" t="s">
        <v>2898</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5" t="s">
        <v>3233</v>
      </c>
      <c r="D112" s="715"/>
      <c r="F112" s="715" t="s">
        <v>1773</v>
      </c>
      <c r="G112" s="723"/>
      <c r="H112" s="723"/>
      <c r="I112" s="723"/>
      <c r="J112" s="715" t="s">
        <v>3233</v>
      </c>
      <c r="K112" s="715"/>
      <c r="M112" s="715" t="s">
        <v>1773</v>
      </c>
      <c r="N112" s="723"/>
      <c r="O112" s="723"/>
      <c r="P112" s="723"/>
    </row>
    <row r="113" spans="1:16" s="458" customFormat="1" ht="13.15" customHeight="1">
      <c r="A113" s="733"/>
      <c r="B113" s="733"/>
      <c r="C113" s="1563">
        <v>1</v>
      </c>
      <c r="D113" s="1564"/>
      <c r="E113" s="1564"/>
      <c r="F113" s="1564"/>
      <c r="G113" s="1564"/>
      <c r="H113" s="1564"/>
      <c r="I113" s="1565"/>
      <c r="J113" s="1563">
        <v>8</v>
      </c>
      <c r="K113" s="1564"/>
      <c r="L113" s="1564"/>
      <c r="M113" s="1564"/>
      <c r="N113" s="1564"/>
      <c r="O113" s="1564"/>
      <c r="P113" s="1565"/>
    </row>
    <row r="114" spans="1:16" s="458" customFormat="1" ht="13.15" customHeight="1">
      <c r="A114" s="733"/>
      <c r="B114" s="733"/>
      <c r="C114" s="1566">
        <v>2</v>
      </c>
      <c r="D114" s="1567"/>
      <c r="E114" s="1567"/>
      <c r="F114" s="1567"/>
      <c r="G114" s="1567"/>
      <c r="H114" s="1567"/>
      <c r="I114" s="1568"/>
      <c r="J114" s="1566">
        <v>9</v>
      </c>
      <c r="K114" s="1567"/>
      <c r="L114" s="1567"/>
      <c r="M114" s="1567"/>
      <c r="N114" s="1567"/>
      <c r="O114" s="1567"/>
      <c r="P114" s="1568"/>
    </row>
    <row r="115" spans="1:16" s="458" customFormat="1" ht="13.15" customHeight="1">
      <c r="A115" s="733"/>
      <c r="B115" s="733"/>
      <c r="C115" s="1566">
        <v>3</v>
      </c>
      <c r="D115" s="1567"/>
      <c r="E115" s="1567"/>
      <c r="F115" s="1567"/>
      <c r="G115" s="1567"/>
      <c r="H115" s="1567"/>
      <c r="I115" s="1568"/>
      <c r="J115" s="1566">
        <v>10</v>
      </c>
      <c r="K115" s="1567"/>
      <c r="L115" s="1567"/>
      <c r="M115" s="1567"/>
      <c r="N115" s="1567"/>
      <c r="O115" s="1567"/>
      <c r="P115" s="1568"/>
    </row>
    <row r="116" spans="1:16" s="458" customFormat="1" ht="13.15" customHeight="1">
      <c r="A116" s="733"/>
      <c r="B116" s="733"/>
      <c r="C116" s="1566">
        <v>4</v>
      </c>
      <c r="D116" s="1567"/>
      <c r="E116" s="1567"/>
      <c r="F116" s="1567"/>
      <c r="G116" s="1567"/>
      <c r="H116" s="1567"/>
      <c r="I116" s="1568"/>
      <c r="J116" s="1566">
        <v>11</v>
      </c>
      <c r="K116" s="1567"/>
      <c r="L116" s="1567"/>
      <c r="M116" s="1567"/>
      <c r="N116" s="1567"/>
      <c r="O116" s="1567"/>
      <c r="P116" s="1568"/>
    </row>
    <row r="117" spans="1:16" s="458" customFormat="1" ht="13.15" customHeight="1">
      <c r="A117" s="733"/>
      <c r="B117" s="733"/>
      <c r="C117" s="1566">
        <v>5</v>
      </c>
      <c r="D117" s="1567"/>
      <c r="E117" s="1567"/>
      <c r="F117" s="1567"/>
      <c r="G117" s="1567"/>
      <c r="H117" s="1567"/>
      <c r="I117" s="1568"/>
      <c r="J117" s="1566">
        <v>12</v>
      </c>
      <c r="K117" s="1567"/>
      <c r="L117" s="1567"/>
      <c r="M117" s="1567"/>
      <c r="N117" s="1567"/>
      <c r="O117" s="1567"/>
      <c r="P117" s="1568"/>
    </row>
    <row r="118" spans="1:16" s="458" customFormat="1" ht="13.15" customHeight="1">
      <c r="A118" s="733"/>
      <c r="B118" s="733"/>
      <c r="C118" s="1566">
        <v>6</v>
      </c>
      <c r="D118" s="1567"/>
      <c r="E118" s="1567"/>
      <c r="F118" s="1567"/>
      <c r="G118" s="1567"/>
      <c r="H118" s="1567"/>
      <c r="I118" s="1568"/>
      <c r="J118" s="1566">
        <v>13</v>
      </c>
      <c r="K118" s="1567"/>
      <c r="L118" s="1567"/>
      <c r="M118" s="1567"/>
      <c r="N118" s="1567"/>
      <c r="O118" s="1567"/>
      <c r="P118" s="1568"/>
    </row>
    <row r="119" spans="1:16" s="458" customFormat="1" ht="13.15" customHeight="1">
      <c r="A119" s="733"/>
      <c r="B119" s="733"/>
      <c r="C119" s="1569">
        <v>7</v>
      </c>
      <c r="D119" s="1570"/>
      <c r="E119" s="1570"/>
      <c r="F119" s="1570"/>
      <c r="G119" s="1570"/>
      <c r="H119" s="1570"/>
      <c r="I119" s="1571"/>
      <c r="J119" s="1569">
        <v>14</v>
      </c>
      <c r="K119" s="1570"/>
      <c r="L119" s="1570"/>
      <c r="M119" s="1570"/>
      <c r="N119" s="1570"/>
      <c r="O119" s="1570"/>
      <c r="P119" s="1571"/>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464</v>
      </c>
      <c r="B121" s="733"/>
      <c r="C121" s="488" t="s">
        <v>3663</v>
      </c>
      <c r="D121" s="488"/>
      <c r="E121" s="488"/>
      <c r="F121" s="488"/>
      <c r="H121" s="1440" t="s">
        <v>3919</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3058</v>
      </c>
      <c r="C123" s="465" t="s">
        <v>2731</v>
      </c>
      <c r="H123" s="1440" t="s">
        <v>3919</v>
      </c>
      <c r="M123" s="723"/>
      <c r="N123" s="721"/>
      <c r="O123" s="721"/>
      <c r="P123" s="469"/>
    </row>
    <row r="124" spans="1:16" s="458" customFormat="1" ht="13.15" customHeight="1">
      <c r="A124" s="733"/>
      <c r="B124" s="733"/>
      <c r="C124" s="715" t="s">
        <v>3665</v>
      </c>
      <c r="D124" s="715"/>
      <c r="E124" s="715"/>
      <c r="F124" s="723"/>
      <c r="H124" s="1572"/>
      <c r="N124" s="721"/>
      <c r="O124" s="721"/>
      <c r="P124" s="469"/>
    </row>
    <row r="125" spans="1:16" s="458" customFormat="1" ht="13.15" customHeight="1">
      <c r="A125" s="733"/>
      <c r="B125" s="733"/>
      <c r="C125" s="496" t="s">
        <v>2730</v>
      </c>
      <c r="D125" s="464"/>
      <c r="H125" s="1443"/>
      <c r="I125" s="1445"/>
      <c r="P125" s="469"/>
    </row>
    <row r="126" spans="1:16" s="458" customFormat="1" ht="13.15" customHeight="1">
      <c r="A126" s="733"/>
      <c r="B126" s="733"/>
      <c r="C126" s="715" t="s">
        <v>3666</v>
      </c>
      <c r="D126" s="715"/>
      <c r="E126" s="715"/>
      <c r="F126" s="723"/>
      <c r="H126" s="1572"/>
      <c r="K126" s="418" t="s">
        <v>3373</v>
      </c>
      <c r="O126" s="1443" t="s">
        <v>714</v>
      </c>
      <c r="P126" s="1445"/>
    </row>
    <row r="127" spans="1:16" s="458" customFormat="1" ht="13.15" customHeight="1">
      <c r="A127" s="733"/>
      <c r="B127" s="733"/>
      <c r="C127" s="715" t="s">
        <v>3664</v>
      </c>
      <c r="F127" s="723"/>
      <c r="H127" s="1478" t="s">
        <v>3919</v>
      </c>
      <c r="K127" s="418" t="s">
        <v>3374</v>
      </c>
      <c r="O127" s="1443" t="s">
        <v>714</v>
      </c>
      <c r="P127" s="1445"/>
    </row>
    <row r="128" spans="1:16" s="458" customFormat="1" ht="13.15" customHeight="1">
      <c r="A128" s="733"/>
      <c r="B128" s="733"/>
      <c r="C128" s="715" t="s">
        <v>3271</v>
      </c>
      <c r="D128" s="715"/>
      <c r="E128" s="715"/>
      <c r="F128" s="723"/>
      <c r="H128" s="1560"/>
      <c r="I128" s="1561"/>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3061</v>
      </c>
      <c r="C130" s="716" t="s">
        <v>3768</v>
      </c>
      <c r="D130" s="715"/>
      <c r="E130" s="715"/>
      <c r="F130" s="723"/>
      <c r="H130" s="1478" t="s">
        <v>3919</v>
      </c>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1238</v>
      </c>
      <c r="C132" s="716" t="s">
        <v>981</v>
      </c>
      <c r="D132" s="715"/>
      <c r="E132" s="715"/>
      <c r="F132" s="723"/>
      <c r="G132" s="723"/>
      <c r="N132" s="721"/>
      <c r="O132" s="721"/>
      <c r="P132" s="469"/>
    </row>
    <row r="133" spans="1:16" s="458" customFormat="1" ht="13.15" customHeight="1">
      <c r="A133" s="733"/>
      <c r="B133" s="733"/>
      <c r="C133" s="715" t="s">
        <v>1085</v>
      </c>
      <c r="D133" s="715"/>
      <c r="E133" s="715"/>
      <c r="F133" s="723"/>
      <c r="G133" s="723"/>
      <c r="H133" s="1478" t="s">
        <v>3919</v>
      </c>
      <c r="K133" s="715" t="s">
        <v>2286</v>
      </c>
      <c r="L133" s="715"/>
      <c r="M133" s="723"/>
      <c r="N133" s="723"/>
      <c r="O133" s="1478" t="s">
        <v>3919</v>
      </c>
      <c r="P133" s="469"/>
    </row>
    <row r="134" spans="1:16" s="458" customFormat="1" ht="13.15" customHeight="1">
      <c r="A134" s="733"/>
      <c r="B134" s="733"/>
      <c r="C134" s="715" t="s">
        <v>1086</v>
      </c>
      <c r="D134" s="715"/>
      <c r="E134" s="715"/>
      <c r="F134" s="723"/>
      <c r="G134" s="723"/>
      <c r="H134" s="1478" t="s">
        <v>3919</v>
      </c>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465</v>
      </c>
      <c r="B136" s="733"/>
      <c r="C136" s="488" t="s">
        <v>1835</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3058</v>
      </c>
      <c r="C138" s="479" t="s">
        <v>2863</v>
      </c>
      <c r="F138" s="723"/>
      <c r="G138" s="723"/>
      <c r="H138" s="723"/>
      <c r="I138" s="723"/>
      <c r="J138" s="480"/>
      <c r="K138" s="723"/>
      <c r="L138" s="723"/>
      <c r="N138" s="721"/>
      <c r="O138" s="721"/>
      <c r="P138" s="469"/>
    </row>
    <row r="139" spans="1:16" s="458" customFormat="1" ht="12.6" customHeight="1">
      <c r="A139" s="733"/>
      <c r="B139" s="733"/>
      <c r="C139" s="487" t="s">
        <v>2278</v>
      </c>
      <c r="D139" s="480"/>
      <c r="E139" s="480"/>
      <c r="F139" s="723"/>
      <c r="G139" s="723"/>
      <c r="H139" s="723"/>
      <c r="I139" s="723"/>
      <c r="K139" s="1478" t="s">
        <v>3919</v>
      </c>
      <c r="N139" s="721"/>
      <c r="O139" s="721"/>
      <c r="P139" s="469"/>
    </row>
    <row r="140" spans="1:16" s="458" customFormat="1" ht="12.6" customHeight="1">
      <c r="A140" s="733"/>
      <c r="B140" s="733"/>
      <c r="C140" s="458" t="s">
        <v>949</v>
      </c>
      <c r="K140" s="1554"/>
      <c r="L140" s="464" t="s">
        <v>2825</v>
      </c>
      <c r="P140" s="497">
        <f>IF('Part VI-Revenues &amp; Expenses'!$M$61=0,0,$K140/'Part VI-Revenues &amp; Expenses'!$M$61)</f>
        <v>0</v>
      </c>
    </row>
    <row r="141" spans="1:16" s="458" customFormat="1" ht="12.6" customHeight="1">
      <c r="A141" s="733"/>
      <c r="B141" s="733"/>
      <c r="C141" s="458" t="s">
        <v>3272</v>
      </c>
      <c r="K141" s="1554"/>
      <c r="L141" s="464" t="s">
        <v>2825</v>
      </c>
      <c r="P141" s="497">
        <f>IF('Part VI-Revenues &amp; Expenses'!$M$61=0,0,$K141/'Part VI-Revenues &amp; Expenses'!$M$61)</f>
        <v>0</v>
      </c>
    </row>
    <row r="142" spans="1:16" s="458" customFormat="1" ht="12.6" customHeight="1">
      <c r="A142" s="733"/>
      <c r="B142" s="733"/>
      <c r="C142" s="458" t="s">
        <v>2826</v>
      </c>
      <c r="E142" s="1443"/>
      <c r="F142" s="1444"/>
      <c r="G142" s="1444"/>
      <c r="H142" s="1444"/>
      <c r="I142" s="1444"/>
      <c r="J142" s="1444"/>
      <c r="K142" s="1445"/>
      <c r="L142" s="498" t="s">
        <v>2827</v>
      </c>
      <c r="M142" s="1443"/>
      <c r="N142" s="1444"/>
      <c r="O142" s="1444"/>
      <c r="P142" s="1445"/>
    </row>
    <row r="143" spans="1:16" s="458" customFormat="1" ht="12.6" customHeight="1">
      <c r="A143" s="733"/>
      <c r="B143" s="733"/>
      <c r="C143" s="464" t="s">
        <v>2828</v>
      </c>
      <c r="D143" s="472"/>
      <c r="E143" s="1443"/>
      <c r="F143" s="1444"/>
      <c r="G143" s="1444"/>
      <c r="H143" s="1444"/>
      <c r="I143" s="1444"/>
      <c r="J143" s="1444"/>
      <c r="K143" s="1573"/>
      <c r="L143" s="713" t="s">
        <v>2830</v>
      </c>
      <c r="M143" s="1481"/>
      <c r="N143" s="1482"/>
      <c r="O143" s="1482"/>
      <c r="P143" s="1483"/>
    </row>
    <row r="144" spans="1:16" s="458" customFormat="1" ht="12.6" customHeight="1">
      <c r="A144" s="733"/>
      <c r="B144" s="733"/>
      <c r="C144" s="464" t="s">
        <v>953</v>
      </c>
      <c r="E144" s="1443"/>
      <c r="F144" s="1444"/>
      <c r="G144" s="1444"/>
      <c r="H144" s="1445"/>
      <c r="I144" s="493" t="s">
        <v>3352</v>
      </c>
      <c r="J144" s="1477"/>
      <c r="K144" s="1530"/>
      <c r="L144" s="498" t="s">
        <v>2833</v>
      </c>
      <c r="M144" s="1474"/>
      <c r="N144" s="1475"/>
      <c r="O144" s="1476"/>
    </row>
    <row r="145" spans="1:16" s="458" customFormat="1" ht="12.6" customHeight="1">
      <c r="A145" s="733"/>
      <c r="B145" s="733"/>
      <c r="C145" s="464" t="s">
        <v>2831</v>
      </c>
      <c r="E145" s="1474"/>
      <c r="F145" s="1475"/>
      <c r="G145" s="1476"/>
      <c r="H145" s="499" t="s">
        <v>2832</v>
      </c>
      <c r="I145" s="1474"/>
      <c r="J145" s="1475"/>
      <c r="K145" s="1476"/>
      <c r="L145" s="500" t="s">
        <v>3054</v>
      </c>
      <c r="M145" s="1474"/>
      <c r="N145" s="1475"/>
      <c r="O145" s="1476"/>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3061</v>
      </c>
      <c r="C147" s="716" t="s">
        <v>2372</v>
      </c>
      <c r="D147" s="716"/>
      <c r="E147" s="716"/>
      <c r="F147" s="716"/>
      <c r="G147" s="716"/>
      <c r="I147" s="1478" t="s">
        <v>3919</v>
      </c>
      <c r="J147" s="778" t="s">
        <v>1253</v>
      </c>
      <c r="K147" s="779"/>
      <c r="L147" s="1478"/>
      <c r="M147" s="775" t="s">
        <v>3469</v>
      </c>
      <c r="N147" s="776"/>
      <c r="O147" s="777"/>
      <c r="P147" s="1572"/>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1238</v>
      </c>
      <c r="C149" s="716" t="s">
        <v>2785</v>
      </c>
      <c r="D149" s="716"/>
      <c r="E149" s="716"/>
      <c r="F149" s="716"/>
      <c r="G149" s="716"/>
      <c r="I149" s="1478" t="s">
        <v>3919</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3210</v>
      </c>
      <c r="C151" s="787" t="s">
        <v>3053</v>
      </c>
      <c r="D151" s="787"/>
      <c r="E151" s="787"/>
      <c r="F151" s="787"/>
      <c r="G151" s="716"/>
      <c r="I151" s="1478" t="s">
        <v>3919</v>
      </c>
    </row>
    <row r="152" spans="1:16" s="458" customFormat="1" ht="12.6" customHeight="1">
      <c r="B152" s="733"/>
      <c r="C152" s="786" t="s">
        <v>2209</v>
      </c>
      <c r="D152" s="786"/>
      <c r="E152" s="716"/>
      <c r="F152" s="716"/>
      <c r="G152" s="716"/>
      <c r="I152" s="1574"/>
    </row>
    <row r="153" spans="1:16" s="458" customFormat="1" ht="12.6" customHeight="1">
      <c r="A153" s="733"/>
      <c r="B153" s="733"/>
      <c r="C153" s="781" t="s">
        <v>1379</v>
      </c>
      <c r="D153" s="781"/>
      <c r="E153" s="461"/>
      <c r="F153" s="716"/>
      <c r="G153" s="716"/>
      <c r="I153" s="1574"/>
      <c r="K153" s="468"/>
      <c r="P153" s="469"/>
    </row>
    <row r="154" spans="1:16" s="458" customFormat="1" ht="12.6" customHeight="1">
      <c r="B154" s="733"/>
      <c r="C154" s="781" t="s">
        <v>2821</v>
      </c>
      <c r="D154" s="781"/>
      <c r="E154" s="461"/>
      <c r="F154" s="716"/>
      <c r="G154" s="716"/>
      <c r="I154" s="503" t="str">
        <f>IF(I152="","",I153/I152)</f>
        <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2762</v>
      </c>
      <c r="C156" s="395" t="s">
        <v>2373</v>
      </c>
      <c r="D156" s="715"/>
      <c r="E156" s="715"/>
      <c r="F156" s="715"/>
      <c r="G156" s="715"/>
      <c r="H156" s="723"/>
      <c r="J156" s="468"/>
      <c r="K156" s="480"/>
      <c r="M156" s="721"/>
      <c r="O156" s="723"/>
      <c r="P156" s="469"/>
    </row>
    <row r="157" spans="1:16" s="458" customFormat="1" ht="12.6" customHeight="1">
      <c r="A157" s="733"/>
      <c r="B157" s="733"/>
      <c r="C157" s="721" t="s">
        <v>3326</v>
      </c>
      <c r="D157" s="470"/>
      <c r="E157" s="721"/>
      <c r="F157" s="721"/>
      <c r="I157" s="1478" t="s">
        <v>3919</v>
      </c>
      <c r="L157" s="721" t="s">
        <v>3325</v>
      </c>
      <c r="P157" s="1478" t="s">
        <v>3919</v>
      </c>
    </row>
    <row r="158" spans="1:16" s="458" customFormat="1" ht="12.6" customHeight="1">
      <c r="A158" s="733"/>
      <c r="B158" s="733"/>
      <c r="C158" s="721" t="s">
        <v>3328</v>
      </c>
      <c r="I158" s="1478" t="s">
        <v>3919</v>
      </c>
      <c r="L158" s="721" t="s">
        <v>2375</v>
      </c>
      <c r="P158" s="1478" t="s">
        <v>3919</v>
      </c>
    </row>
    <row r="159" spans="1:16" s="458" customFormat="1" ht="12.6" customHeight="1">
      <c r="A159" s="733"/>
      <c r="C159" s="721" t="s">
        <v>1979</v>
      </c>
      <c r="D159" s="505"/>
      <c r="I159" s="1478" t="s">
        <v>3919</v>
      </c>
      <c r="L159" s="721" t="s">
        <v>2544</v>
      </c>
      <c r="P159" s="1478" t="s">
        <v>3919</v>
      </c>
    </row>
    <row r="160" spans="1:16" s="458" customFormat="1" ht="12.6" customHeight="1">
      <c r="A160" s="733"/>
      <c r="B160" s="733"/>
      <c r="C160" s="721" t="s">
        <v>2374</v>
      </c>
      <c r="D160" s="470"/>
      <c r="E160" s="721"/>
      <c r="F160" s="721"/>
      <c r="I160" s="1478" t="s">
        <v>3918</v>
      </c>
      <c r="K160" s="470"/>
      <c r="L160" s="721" t="s">
        <v>2289</v>
      </c>
      <c r="M160" s="721"/>
      <c r="P160" s="1478" t="s">
        <v>3919</v>
      </c>
    </row>
    <row r="161" spans="1:16" s="458" customFormat="1" ht="12.6" customHeight="1">
      <c r="A161" s="733"/>
      <c r="B161" s="733"/>
      <c r="C161" s="721" t="s">
        <v>2376</v>
      </c>
      <c r="D161" s="470"/>
      <c r="E161" s="721"/>
      <c r="F161" s="721"/>
      <c r="I161" s="1478" t="s">
        <v>3919</v>
      </c>
      <c r="K161" s="470"/>
      <c r="L161" s="721"/>
      <c r="M161" s="721"/>
    </row>
    <row r="162" spans="1:16" s="458" customFormat="1" ht="12.6" customHeight="1">
      <c r="A162" s="733"/>
      <c r="B162" s="461"/>
      <c r="C162" s="721" t="s">
        <v>2843</v>
      </c>
      <c r="D162" s="470"/>
      <c r="I162" s="1478" t="s">
        <v>3919</v>
      </c>
      <c r="J162" s="504" t="s">
        <v>3372</v>
      </c>
      <c r="O162" s="1575"/>
      <c r="P162" s="1576"/>
    </row>
    <row r="163" spans="1:16" s="458" customFormat="1" ht="12.6" customHeight="1">
      <c r="A163" s="733"/>
      <c r="B163" s="733"/>
      <c r="C163" s="721" t="s">
        <v>3408</v>
      </c>
      <c r="E163" s="1555"/>
      <c r="F163" s="1577"/>
      <c r="G163" s="1577"/>
      <c r="H163" s="1556"/>
      <c r="I163" s="1478" t="s">
        <v>3919</v>
      </c>
    </row>
    <row r="164" spans="1:16" s="458" customFormat="1" ht="1.9" customHeight="1">
      <c r="A164" s="733"/>
      <c r="B164" s="733"/>
      <c r="P164" s="468"/>
    </row>
    <row r="165" spans="1:16" s="458" customFormat="1" ht="13.15" customHeight="1">
      <c r="B165" s="733" t="s">
        <v>2763</v>
      </c>
      <c r="C165" s="465" t="s">
        <v>1228</v>
      </c>
    </row>
    <row r="166" spans="1:16" s="458" customFormat="1" ht="12.6" customHeight="1">
      <c r="A166" s="733"/>
      <c r="B166" s="733"/>
      <c r="C166" s="464" t="s">
        <v>975</v>
      </c>
      <c r="D166" s="715"/>
      <c r="E166" s="715"/>
      <c r="F166" s="723"/>
      <c r="G166" s="723"/>
      <c r="I166" s="1560"/>
      <c r="J166" s="1561"/>
      <c r="N166" s="721"/>
      <c r="O166" s="721"/>
      <c r="P166" s="469"/>
    </row>
    <row r="167" spans="1:16" s="458" customFormat="1" ht="12.6" customHeight="1">
      <c r="A167" s="733"/>
      <c r="B167" s="733"/>
      <c r="C167" s="464" t="s">
        <v>367</v>
      </c>
      <c r="D167" s="715"/>
      <c r="E167" s="715"/>
      <c r="F167" s="723"/>
      <c r="G167" s="723"/>
      <c r="I167" s="1560"/>
      <c r="J167" s="1561"/>
      <c r="N167" s="721"/>
      <c r="O167" s="721"/>
      <c r="P167" s="469"/>
    </row>
    <row r="168" spans="1:16" s="458" customFormat="1" ht="12.6" customHeight="1">
      <c r="A168" s="733"/>
      <c r="B168" s="733"/>
      <c r="C168" s="464" t="s">
        <v>3434</v>
      </c>
      <c r="D168" s="715"/>
      <c r="E168" s="715"/>
      <c r="F168" s="723"/>
      <c r="G168" s="723"/>
      <c r="I168" s="1560"/>
      <c r="J168" s="1561"/>
      <c r="N168" s="721"/>
      <c r="O168" s="721"/>
      <c r="P168" s="469"/>
    </row>
    <row r="169" spans="1:16" s="458" customFormat="1" ht="1.9" customHeight="1">
      <c r="B169" s="461"/>
      <c r="C169" s="721"/>
      <c r="H169" s="721"/>
      <c r="L169" s="482"/>
      <c r="M169" s="482"/>
      <c r="N169" s="482"/>
      <c r="O169" s="482"/>
      <c r="P169" s="466"/>
    </row>
    <row r="170" spans="1:16" ht="12" customHeight="1">
      <c r="A170" s="491" t="s">
        <v>2752</v>
      </c>
      <c r="C170" s="491" t="s">
        <v>879</v>
      </c>
      <c r="K170" s="491" t="s">
        <v>3379</v>
      </c>
      <c r="L170" s="491" t="s">
        <v>89</v>
      </c>
    </row>
    <row r="171" spans="1:16" ht="38.450000000000003" customHeight="1">
      <c r="A171" s="1290" t="s">
        <v>4020</v>
      </c>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t="s">
        <v>4019</v>
      </c>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2829</v>
      </c>
      <c r="C182" s="623" t="s">
        <v>1868</v>
      </c>
      <c r="D182" s="623" t="s">
        <v>1869</v>
      </c>
      <c r="E182" s="623" t="s">
        <v>1870</v>
      </c>
      <c r="F182" s="623" t="s">
        <v>1792</v>
      </c>
      <c r="G182" s="623" t="s">
        <v>538</v>
      </c>
      <c r="H182" s="624" t="s">
        <v>1800</v>
      </c>
      <c r="I182" s="625"/>
      <c r="J182" s="623" t="s">
        <v>3635</v>
      </c>
      <c r="K182" s="623"/>
      <c r="L182" s="626"/>
      <c r="M182" s="627"/>
      <c r="N182" s="627" t="s">
        <v>953</v>
      </c>
      <c r="O182" s="628" t="s">
        <v>954</v>
      </c>
      <c r="P182" s="627" t="s">
        <v>3241</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3636</v>
      </c>
      <c r="O183" s="636" t="s">
        <v>3025</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3760</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3174</v>
      </c>
      <c r="K186" s="635"/>
      <c r="L186" s="626"/>
      <c r="M186" s="627"/>
      <c r="N186" s="636" t="s">
        <v>677</v>
      </c>
      <c r="O186" s="636" t="s">
        <v>3816</v>
      </c>
      <c r="P186" s="507" t="s">
        <v>2381</v>
      </c>
      <c r="Q186" s="611"/>
      <c r="S186" s="611"/>
      <c r="T186" s="636" t="s">
        <v>2369</v>
      </c>
      <c r="U186" s="636" t="s">
        <v>3815</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3176</v>
      </c>
      <c r="K187" s="635"/>
      <c r="L187" s="626"/>
      <c r="M187" s="627"/>
      <c r="N187" s="636" t="s">
        <v>3175</v>
      </c>
      <c r="O187" s="636" t="s">
        <v>427</v>
      </c>
      <c r="P187" s="507" t="s">
        <v>2382</v>
      </c>
      <c r="Q187" s="611"/>
      <c r="S187" s="611"/>
      <c r="T187" s="636" t="s">
        <v>2851</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2864</v>
      </c>
      <c r="H188" s="632" t="s">
        <v>536</v>
      </c>
      <c r="I188" s="633"/>
      <c r="J188" s="634" t="s">
        <v>3178</v>
      </c>
      <c r="K188" s="635"/>
      <c r="L188" s="626"/>
      <c r="M188" s="627"/>
      <c r="N188" s="636" t="s">
        <v>3177</v>
      </c>
      <c r="O188" s="636" t="s">
        <v>241</v>
      </c>
      <c r="P188" s="507" t="s">
        <v>2383</v>
      </c>
      <c r="Q188" s="611"/>
      <c r="S188" s="611"/>
      <c r="T188" s="636" t="s">
        <v>3220</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3885</v>
      </c>
      <c r="H189" s="632" t="s">
        <v>537</v>
      </c>
      <c r="I189" s="638"/>
      <c r="J189" s="634" t="s">
        <v>3180</v>
      </c>
      <c r="K189" s="635"/>
      <c r="L189" s="626"/>
      <c r="M189" s="627"/>
      <c r="N189" s="636" t="s">
        <v>3179</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3885</v>
      </c>
      <c r="H190" s="632" t="s">
        <v>537</v>
      </c>
      <c r="I190" s="638"/>
      <c r="J190" s="634" t="s">
        <v>3182</v>
      </c>
      <c r="K190" s="635"/>
      <c r="L190" s="626"/>
      <c r="M190" s="627"/>
      <c r="N190" s="636" t="s">
        <v>3181</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3886</v>
      </c>
      <c r="H191" s="632" t="s">
        <v>536</v>
      </c>
      <c r="I191" s="633"/>
      <c r="J191" s="634" t="s">
        <v>3037</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3887</v>
      </c>
      <c r="H192" s="632" t="s">
        <v>536</v>
      </c>
      <c r="I192" s="633"/>
      <c r="J192" s="634" t="s">
        <v>237</v>
      </c>
      <c r="K192" s="639"/>
      <c r="L192" s="507"/>
      <c r="M192" s="627"/>
      <c r="N192" s="636" t="s">
        <v>3038</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3888</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3889</v>
      </c>
      <c r="H194" s="632" t="s">
        <v>536</v>
      </c>
      <c r="I194" s="638"/>
      <c r="J194" s="634" t="s">
        <v>657</v>
      </c>
      <c r="K194" s="635"/>
      <c r="L194" s="626"/>
      <c r="M194" s="627"/>
      <c r="N194" s="636" t="s">
        <v>240</v>
      </c>
      <c r="O194" s="636" t="s">
        <v>3632</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3890</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3891</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3909</v>
      </c>
      <c r="H198" s="632" t="s">
        <v>536</v>
      </c>
      <c r="I198" s="638"/>
      <c r="J198" s="634" t="s">
        <v>3391</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3910</v>
      </c>
      <c r="H199" s="632" t="s">
        <v>537</v>
      </c>
      <c r="I199" s="638"/>
      <c r="J199" s="634" t="s">
        <v>3393</v>
      </c>
      <c r="K199" s="635"/>
      <c r="L199" s="626"/>
      <c r="M199" s="627"/>
      <c r="N199" s="636" t="s">
        <v>3392</v>
      </c>
      <c r="O199" s="636" t="s">
        <v>3761</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2899</v>
      </c>
      <c r="O200" s="636" t="s">
        <v>3283</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3283</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3842</v>
      </c>
      <c r="K202" s="635"/>
      <c r="L202" s="626"/>
      <c r="M202" s="627"/>
      <c r="N202" s="636" t="s">
        <v>3843</v>
      </c>
      <c r="O202" s="636" t="s">
        <v>3820</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3844</v>
      </c>
      <c r="K203" s="635"/>
      <c r="L203" s="626"/>
      <c r="M203" s="627"/>
      <c r="N203" s="636" t="s">
        <v>3845</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3885</v>
      </c>
      <c r="H204" s="632" t="s">
        <v>537</v>
      </c>
      <c r="I204" s="638"/>
      <c r="J204" s="634" t="s">
        <v>3846</v>
      </c>
      <c r="K204" s="635"/>
      <c r="L204" s="626"/>
      <c r="M204" s="627"/>
      <c r="N204" s="636" t="s">
        <v>3847</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3848</v>
      </c>
      <c r="K205" s="635"/>
      <c r="L205" s="626"/>
      <c r="M205" s="627"/>
      <c r="N205" s="636" t="s">
        <v>3849</v>
      </c>
      <c r="O205" s="636" t="s">
        <v>3758</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3850</v>
      </c>
      <c r="K206" s="635"/>
      <c r="L206" s="626"/>
      <c r="M206" s="627"/>
      <c r="N206" s="636" t="s">
        <v>3851</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3852</v>
      </c>
      <c r="K207" s="635"/>
      <c r="L207" s="626"/>
      <c r="M207" s="627"/>
      <c r="N207" s="636" t="s">
        <v>3854</v>
      </c>
      <c r="O207" s="636" t="s">
        <v>3902</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3853</v>
      </c>
      <c r="K208" s="635"/>
      <c r="L208" s="626"/>
      <c r="M208" s="627"/>
      <c r="N208" s="636" t="s">
        <v>3856</v>
      </c>
      <c r="O208" s="636" t="s">
        <v>2986</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3855</v>
      </c>
      <c r="K209" s="635"/>
      <c r="L209" s="626"/>
      <c r="M209" s="627"/>
      <c r="N209" s="636" t="s">
        <v>222</v>
      </c>
      <c r="O209" s="636" t="s">
        <v>221</v>
      </c>
      <c r="P209" s="1578"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3885</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3133</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3755</v>
      </c>
      <c r="D212" s="507" t="s">
        <v>1872</v>
      </c>
      <c r="E212" s="630" t="s">
        <v>3756</v>
      </c>
      <c r="F212" s="630"/>
      <c r="G212" s="631" t="s">
        <v>957</v>
      </c>
      <c r="H212" s="632" t="s">
        <v>536</v>
      </c>
      <c r="I212" s="633"/>
      <c r="J212" s="634" t="s">
        <v>1357</v>
      </c>
      <c r="K212" s="639"/>
      <c r="L212" s="626"/>
      <c r="M212" s="627"/>
      <c r="N212" s="636" t="s">
        <v>3165</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3757</v>
      </c>
      <c r="D213" s="507" t="s">
        <v>2036</v>
      </c>
      <c r="E213" s="637" t="s">
        <v>1339</v>
      </c>
      <c r="F213" s="637"/>
      <c r="G213" s="631" t="s">
        <v>3885</v>
      </c>
      <c r="H213" s="632" t="s">
        <v>537</v>
      </c>
      <c r="I213" s="638"/>
      <c r="J213" s="634" t="s">
        <v>1359</v>
      </c>
      <c r="K213" s="639"/>
      <c r="L213" s="626"/>
      <c r="M213" s="627"/>
      <c r="N213" s="636" t="s">
        <v>2031</v>
      </c>
      <c r="O213" s="636" t="s">
        <v>1740</v>
      </c>
      <c r="P213" s="1578" t="s">
        <v>1412</v>
      </c>
      <c r="Q213" s="611"/>
      <c r="S213" s="611"/>
      <c r="T213" s="611"/>
      <c r="U213" s="611"/>
      <c r="V213" s="611"/>
      <c r="W213" s="611"/>
      <c r="X213" s="611"/>
      <c r="Y213" s="611"/>
      <c r="Z213" s="611"/>
      <c r="AA213" s="611"/>
    </row>
    <row r="214" spans="1:27" ht="12" customHeight="1">
      <c r="A214" s="611"/>
      <c r="B214" s="507" t="s">
        <v>2049</v>
      </c>
      <c r="C214" s="507" t="s">
        <v>3758</v>
      </c>
      <c r="D214" s="507" t="s">
        <v>1872</v>
      </c>
      <c r="E214" s="630" t="s">
        <v>3759</v>
      </c>
      <c r="F214" s="630"/>
      <c r="G214" s="631" t="s">
        <v>958</v>
      </c>
      <c r="H214" s="632" t="s">
        <v>536</v>
      </c>
      <c r="I214" s="633"/>
      <c r="J214" s="634" t="s">
        <v>3166</v>
      </c>
      <c r="K214" s="639"/>
      <c r="L214" s="626"/>
      <c r="M214" s="627"/>
      <c r="N214" s="636" t="s">
        <v>3168</v>
      </c>
      <c r="O214" s="636" t="s">
        <v>3760</v>
      </c>
      <c r="P214" s="507" t="s">
        <v>2407</v>
      </c>
      <c r="Q214" s="631"/>
      <c r="S214" s="611"/>
      <c r="T214" s="611"/>
      <c r="U214" s="611"/>
      <c r="V214" s="611"/>
      <c r="W214" s="611"/>
      <c r="X214" s="611"/>
      <c r="Y214" s="611"/>
      <c r="Z214" s="611"/>
      <c r="AA214" s="611"/>
    </row>
    <row r="215" spans="1:27" ht="12" customHeight="1">
      <c r="A215" s="611"/>
      <c r="B215" s="507" t="s">
        <v>2050</v>
      </c>
      <c r="C215" s="507" t="s">
        <v>3760</v>
      </c>
      <c r="D215" s="507" t="s">
        <v>2012</v>
      </c>
      <c r="E215" s="637" t="s">
        <v>1339</v>
      </c>
      <c r="F215" s="637"/>
      <c r="G215" s="631" t="s">
        <v>3885</v>
      </c>
      <c r="H215" s="632" t="s">
        <v>537</v>
      </c>
      <c r="I215" s="638"/>
      <c r="J215" s="634" t="s">
        <v>3167</v>
      </c>
      <c r="K215" s="639"/>
      <c r="L215" s="626"/>
      <c r="M215" s="627"/>
      <c r="N215" s="636" t="s">
        <v>3075</v>
      </c>
      <c r="O215" s="636" t="s">
        <v>3279</v>
      </c>
      <c r="P215" s="507" t="s">
        <v>2408</v>
      </c>
      <c r="Q215" s="631"/>
      <c r="S215" s="611"/>
      <c r="T215" s="611"/>
      <c r="U215" s="611"/>
      <c r="V215" s="611"/>
      <c r="W215" s="611"/>
      <c r="X215" s="611"/>
      <c r="Y215" s="611"/>
      <c r="Z215" s="611"/>
      <c r="AA215" s="611"/>
    </row>
    <row r="216" spans="1:27" ht="12" customHeight="1">
      <c r="A216" s="611"/>
      <c r="B216" s="507" t="s">
        <v>2051</v>
      </c>
      <c r="C216" s="507" t="s">
        <v>3761</v>
      </c>
      <c r="D216" s="507" t="s">
        <v>1872</v>
      </c>
      <c r="E216" s="630" t="s">
        <v>3762</v>
      </c>
      <c r="F216" s="630"/>
      <c r="G216" s="631" t="s">
        <v>959</v>
      </c>
      <c r="H216" s="632" t="s">
        <v>536</v>
      </c>
      <c r="I216" s="633"/>
      <c r="J216" s="634" t="s">
        <v>3169</v>
      </c>
      <c r="K216" s="639"/>
      <c r="L216" s="626"/>
      <c r="M216" s="627"/>
      <c r="N216" s="636" t="s">
        <v>3170</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3763</v>
      </c>
      <c r="D217" s="507" t="s">
        <v>1872</v>
      </c>
      <c r="E217" s="630" t="s">
        <v>3814</v>
      </c>
      <c r="F217" s="630"/>
      <c r="G217" s="631" t="s">
        <v>960</v>
      </c>
      <c r="H217" s="632" t="s">
        <v>536</v>
      </c>
      <c r="I217" s="633"/>
      <c r="J217" s="634" t="s">
        <v>3201</v>
      </c>
      <c r="K217" s="639"/>
      <c r="L217" s="626"/>
      <c r="M217" s="627"/>
      <c r="N217" s="636" t="s">
        <v>3202</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3815</v>
      </c>
      <c r="D218" s="507" t="s">
        <v>2036</v>
      </c>
      <c r="E218" s="637" t="s">
        <v>1340</v>
      </c>
      <c r="F218" s="637"/>
      <c r="G218" s="631" t="s">
        <v>3910</v>
      </c>
      <c r="H218" s="632" t="s">
        <v>537</v>
      </c>
      <c r="I218" s="638"/>
      <c r="J218" s="634" t="s">
        <v>3203</v>
      </c>
      <c r="K218" s="639"/>
      <c r="L218" s="626"/>
      <c r="M218" s="627"/>
      <c r="N218" s="636" t="s">
        <v>3204</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3816</v>
      </c>
      <c r="D219" s="507" t="s">
        <v>1872</v>
      </c>
      <c r="E219" s="630" t="s">
        <v>3817</v>
      </c>
      <c r="F219" s="630"/>
      <c r="G219" s="631" t="s">
        <v>961</v>
      </c>
      <c r="H219" s="632" t="s">
        <v>536</v>
      </c>
      <c r="I219" s="633"/>
      <c r="J219" s="634" t="s">
        <v>3205</v>
      </c>
      <c r="K219" s="639"/>
      <c r="L219" s="626"/>
      <c r="M219" s="627"/>
      <c r="N219" s="636" t="s">
        <v>3206</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3818</v>
      </c>
      <c r="D220" s="507" t="s">
        <v>2036</v>
      </c>
      <c r="E220" s="637" t="s">
        <v>1339</v>
      </c>
      <c r="F220" s="637"/>
      <c r="G220" s="631" t="s">
        <v>3885</v>
      </c>
      <c r="H220" s="632" t="s">
        <v>537</v>
      </c>
      <c r="I220" s="638"/>
      <c r="J220" s="634" t="s">
        <v>3207</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3819</v>
      </c>
      <c r="D221" s="507" t="s">
        <v>2036</v>
      </c>
      <c r="E221" s="637" t="s">
        <v>2021</v>
      </c>
      <c r="F221" s="637"/>
      <c r="G221" s="631" t="s">
        <v>3888</v>
      </c>
      <c r="H221" s="632" t="s">
        <v>537</v>
      </c>
      <c r="I221" s="638"/>
      <c r="J221" s="634" t="s">
        <v>3836</v>
      </c>
      <c r="K221" s="639"/>
      <c r="L221" s="626"/>
      <c r="M221" s="627"/>
      <c r="N221" s="636" t="s">
        <v>3837</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3820</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3080</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3885</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3361</v>
      </c>
      <c r="K225" s="639"/>
      <c r="L225" s="626"/>
      <c r="M225" s="627"/>
      <c r="N225" s="636" t="s">
        <v>3362</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3885</v>
      </c>
      <c r="H226" s="632" t="s">
        <v>537</v>
      </c>
      <c r="I226" s="638"/>
      <c r="J226" s="634" t="s">
        <v>3363</v>
      </c>
      <c r="K226" s="639"/>
      <c r="L226" s="626"/>
      <c r="M226" s="627"/>
      <c r="N226" s="636" t="s">
        <v>3364</v>
      </c>
      <c r="O226" s="636" t="s">
        <v>3371</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3033</v>
      </c>
      <c r="H227" s="632" t="s">
        <v>536</v>
      </c>
      <c r="I227" s="633"/>
      <c r="J227" s="634" t="s">
        <v>3365</v>
      </c>
      <c r="K227" s="639"/>
      <c r="L227" s="626"/>
      <c r="M227" s="627"/>
      <c r="N227" s="507" t="s">
        <v>3864</v>
      </c>
      <c r="O227" s="507" t="s">
        <v>964</v>
      </c>
      <c r="P227" s="1579" t="s">
        <v>3240</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3034</v>
      </c>
      <c r="H228" s="632" t="s">
        <v>536</v>
      </c>
      <c r="I228" s="633"/>
      <c r="J228" s="634" t="s">
        <v>3399</v>
      </c>
      <c r="K228" s="639"/>
      <c r="L228" s="626"/>
      <c r="M228" s="627"/>
      <c r="N228" s="636" t="s">
        <v>3366</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3763</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3885</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3035</v>
      </c>
      <c r="H231" s="632" t="s">
        <v>536</v>
      </c>
      <c r="I231" s="633"/>
      <c r="J231" s="634" t="s">
        <v>3261</v>
      </c>
      <c r="K231" s="639"/>
      <c r="L231" s="626"/>
      <c r="M231" s="627"/>
      <c r="N231" s="636" t="s">
        <v>2805</v>
      </c>
      <c r="O231" s="636" t="s">
        <v>3086</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3891</v>
      </c>
      <c r="H232" s="632" t="s">
        <v>537</v>
      </c>
      <c r="I232" s="633"/>
      <c r="J232" s="634" t="s">
        <v>3262</v>
      </c>
      <c r="K232" s="639"/>
      <c r="L232" s="626"/>
      <c r="M232" s="627"/>
      <c r="N232" s="636" t="s">
        <v>1413</v>
      </c>
      <c r="O232" s="636" t="s">
        <v>3899</v>
      </c>
      <c r="P232" s="1578"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3689</v>
      </c>
      <c r="K233" s="635"/>
      <c r="L233" s="626"/>
      <c r="M233" s="627"/>
      <c r="N233" s="636" t="s">
        <v>3263</v>
      </c>
      <c r="O233" s="636" t="s">
        <v>3901</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3691</v>
      </c>
      <c r="K234" s="635"/>
      <c r="L234" s="626"/>
      <c r="M234" s="627"/>
      <c r="N234" s="636" t="s">
        <v>3690</v>
      </c>
      <c r="O234" s="636" t="s">
        <v>1725</v>
      </c>
      <c r="P234" s="507" t="s">
        <v>2425</v>
      </c>
      <c r="Q234" s="631"/>
      <c r="S234" s="611"/>
      <c r="T234" s="611"/>
      <c r="U234" s="611"/>
      <c r="V234" s="611"/>
      <c r="W234" s="611"/>
      <c r="X234" s="611"/>
      <c r="Y234" s="611"/>
      <c r="Z234" s="611"/>
      <c r="AA234" s="611"/>
    </row>
    <row r="235" spans="1:27" ht="12" customHeight="1">
      <c r="A235" s="611"/>
      <c r="B235" s="640"/>
      <c r="C235" s="507" t="s">
        <v>3369</v>
      </c>
      <c r="D235" s="507" t="s">
        <v>1872</v>
      </c>
      <c r="E235" s="630" t="s">
        <v>3370</v>
      </c>
      <c r="F235" s="630"/>
      <c r="G235" s="631" t="s">
        <v>2038</v>
      </c>
      <c r="H235" s="632" t="s">
        <v>536</v>
      </c>
      <c r="I235" s="633"/>
      <c r="J235" s="634" t="s">
        <v>3693</v>
      </c>
      <c r="K235" s="635"/>
      <c r="L235" s="626"/>
      <c r="M235" s="627"/>
      <c r="N235" s="507" t="s">
        <v>3865</v>
      </c>
      <c r="O235" s="507" t="s">
        <v>414</v>
      </c>
      <c r="P235" s="1579" t="s">
        <v>3240</v>
      </c>
      <c r="Q235" s="631"/>
      <c r="S235" s="611"/>
      <c r="T235" s="611"/>
      <c r="U235" s="611"/>
      <c r="V235" s="611"/>
      <c r="W235" s="611"/>
      <c r="X235" s="611"/>
      <c r="Y235" s="611"/>
      <c r="Z235" s="611"/>
      <c r="AA235" s="611"/>
    </row>
    <row r="236" spans="1:27" ht="12" customHeight="1">
      <c r="A236" s="611"/>
      <c r="B236" s="640"/>
      <c r="C236" s="507" t="s">
        <v>3371</v>
      </c>
      <c r="D236" s="507" t="s">
        <v>1872</v>
      </c>
      <c r="E236" s="630" t="s">
        <v>998</v>
      </c>
      <c r="F236" s="630"/>
      <c r="G236" s="631" t="s">
        <v>2039</v>
      </c>
      <c r="H236" s="632" t="s">
        <v>536</v>
      </c>
      <c r="I236" s="633"/>
      <c r="J236" s="634" t="s">
        <v>3695</v>
      </c>
      <c r="K236" s="635"/>
      <c r="L236" s="626"/>
      <c r="M236" s="627"/>
      <c r="N236" s="636" t="s">
        <v>3692</v>
      </c>
      <c r="O236" s="636" t="s">
        <v>2989</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3696</v>
      </c>
      <c r="K237" s="635"/>
      <c r="L237" s="626"/>
      <c r="M237" s="627"/>
      <c r="N237" s="636" t="s">
        <v>3694</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3885</v>
      </c>
      <c r="H238" s="632" t="s">
        <v>537</v>
      </c>
      <c r="I238" s="638"/>
      <c r="J238" s="634" t="s">
        <v>3353</v>
      </c>
      <c r="K238" s="635"/>
      <c r="L238" s="626"/>
      <c r="M238" s="627"/>
      <c r="N238" s="636" t="s">
        <v>3697</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3398</v>
      </c>
      <c r="F239" s="637"/>
      <c r="G239" s="631" t="s">
        <v>2041</v>
      </c>
      <c r="H239" s="632" t="s">
        <v>537</v>
      </c>
      <c r="I239" s="638"/>
      <c r="J239" s="634" t="s">
        <v>1065</v>
      </c>
      <c r="K239" s="635"/>
      <c r="L239" s="626"/>
      <c r="M239" s="627"/>
      <c r="N239" s="636" t="s">
        <v>3354</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3885</v>
      </c>
      <c r="H240" s="632" t="s">
        <v>537</v>
      </c>
      <c r="I240" s="638"/>
      <c r="J240" s="634" t="s">
        <v>1067</v>
      </c>
      <c r="K240" s="635"/>
      <c r="L240" s="626"/>
      <c r="M240" s="627"/>
      <c r="N240" s="636" t="s">
        <v>1066</v>
      </c>
      <c r="O240" s="636" t="s">
        <v>3755</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3885</v>
      </c>
      <c r="H242" s="632" t="s">
        <v>537</v>
      </c>
      <c r="I242" s="638"/>
      <c r="J242" s="634" t="s">
        <v>1071</v>
      </c>
      <c r="K242" s="635"/>
      <c r="L242" s="626"/>
      <c r="M242" s="627"/>
      <c r="N242" s="636" t="s">
        <v>1070</v>
      </c>
      <c r="O242" s="636" t="s">
        <v>3901</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3344</v>
      </c>
      <c r="K243" s="635"/>
      <c r="L243" s="626"/>
      <c r="M243" s="627"/>
      <c r="N243" s="507" t="s">
        <v>3866</v>
      </c>
      <c r="O243" s="507" t="s">
        <v>3757</v>
      </c>
      <c r="P243" s="1579" t="s">
        <v>3240</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3345</v>
      </c>
      <c r="K244" s="635"/>
      <c r="L244" s="626"/>
      <c r="M244" s="627"/>
      <c r="N244" s="636" t="s">
        <v>3346</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3890</v>
      </c>
      <c r="H245" s="632" t="s">
        <v>537</v>
      </c>
      <c r="I245" s="633"/>
      <c r="J245" s="634" t="s">
        <v>3347</v>
      </c>
      <c r="K245" s="635"/>
      <c r="L245" s="626"/>
      <c r="M245" s="627"/>
      <c r="N245" s="636" t="s">
        <v>3348</v>
      </c>
      <c r="O245" s="636" t="s">
        <v>3895</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3400</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3401</v>
      </c>
      <c r="K248" s="635"/>
      <c r="L248" s="626"/>
      <c r="M248" s="627"/>
      <c r="N248" s="636" t="s">
        <v>3476</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3885</v>
      </c>
      <c r="H249" s="632" t="s">
        <v>537</v>
      </c>
      <c r="I249" s="638"/>
      <c r="J249" s="634" t="s">
        <v>3439</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3903</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3578</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3577</v>
      </c>
      <c r="K253" s="635"/>
      <c r="L253" s="626"/>
      <c r="M253" s="627"/>
      <c r="N253" s="636" t="s">
        <v>3626</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3625</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3627</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3885</v>
      </c>
      <c r="H256" s="632" t="s">
        <v>537</v>
      </c>
      <c r="I256" s="638"/>
      <c r="J256" s="634" t="s">
        <v>3628</v>
      </c>
      <c r="K256" s="635"/>
      <c r="L256" s="626"/>
      <c r="M256" s="627"/>
      <c r="N256" s="636" t="s">
        <v>3566</v>
      </c>
      <c r="O256" s="636" t="s">
        <v>3761</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3885</v>
      </c>
      <c r="H257" s="632" t="s">
        <v>537</v>
      </c>
      <c r="I257" s="638"/>
      <c r="J257" s="634" t="s">
        <v>3565</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3895</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3885</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3291</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3888</v>
      </c>
      <c r="H266" s="632" t="s">
        <v>537</v>
      </c>
      <c r="I266" s="638"/>
      <c r="J266" s="634" t="s">
        <v>3427</v>
      </c>
      <c r="K266" s="635"/>
      <c r="L266" s="626"/>
      <c r="M266" s="627"/>
      <c r="N266" s="636" t="s">
        <v>3428</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3429</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3891</v>
      </c>
      <c r="H268" s="632" t="s">
        <v>537</v>
      </c>
      <c r="I268" s="633"/>
      <c r="J268" s="634" t="s">
        <v>3430</v>
      </c>
      <c r="K268" s="635"/>
      <c r="L268" s="626"/>
      <c r="M268" s="627"/>
      <c r="N268" s="636" t="s">
        <v>3432</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3431</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3809</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3891</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3133</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3816</v>
      </c>
      <c r="P278" s="507" t="s">
        <v>2467</v>
      </c>
      <c r="Q278" s="631"/>
      <c r="S278" s="611"/>
      <c r="T278" s="611"/>
      <c r="U278" s="611"/>
      <c r="V278" s="611"/>
      <c r="W278" s="611"/>
      <c r="X278" s="611"/>
      <c r="Y278" s="611"/>
      <c r="Z278" s="611"/>
      <c r="AA278" s="611"/>
    </row>
    <row r="279" spans="1:27" ht="12" customHeight="1">
      <c r="A279" s="611"/>
      <c r="B279" s="640"/>
      <c r="C279" s="507" t="s">
        <v>2936</v>
      </c>
      <c r="D279" s="507" t="s">
        <v>2036</v>
      </c>
      <c r="E279" s="637" t="s">
        <v>1340</v>
      </c>
      <c r="F279" s="637"/>
      <c r="G279" s="631" t="s">
        <v>3910</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2937</v>
      </c>
      <c r="D280" s="507" t="s">
        <v>1872</v>
      </c>
      <c r="E280" s="630" t="s">
        <v>13</v>
      </c>
      <c r="F280" s="630"/>
      <c r="G280" s="631" t="s">
        <v>3890</v>
      </c>
      <c r="H280" s="632" t="s">
        <v>537</v>
      </c>
      <c r="I280" s="633"/>
      <c r="J280" s="634" t="s">
        <v>302</v>
      </c>
      <c r="K280" s="635"/>
      <c r="L280" s="626"/>
      <c r="M280" s="627"/>
      <c r="N280" s="636" t="s">
        <v>3154</v>
      </c>
      <c r="O280" s="636" t="s">
        <v>415</v>
      </c>
      <c r="P280" s="507" t="s">
        <v>2469</v>
      </c>
      <c r="Q280" s="631"/>
      <c r="S280" s="611"/>
      <c r="T280" s="611"/>
      <c r="U280" s="611"/>
      <c r="V280" s="611"/>
      <c r="W280" s="611"/>
      <c r="X280" s="611"/>
      <c r="Y280" s="611"/>
      <c r="Z280" s="611"/>
      <c r="AA280" s="611"/>
    </row>
    <row r="281" spans="1:27" ht="12" customHeight="1">
      <c r="A281" s="611"/>
      <c r="B281" s="640"/>
      <c r="C281" s="507" t="s">
        <v>2938</v>
      </c>
      <c r="D281" s="507" t="s">
        <v>2036</v>
      </c>
      <c r="E281" s="637" t="s">
        <v>1344</v>
      </c>
      <c r="F281" s="637"/>
      <c r="G281" s="631" t="s">
        <v>1051</v>
      </c>
      <c r="H281" s="632" t="s">
        <v>537</v>
      </c>
      <c r="I281" s="638"/>
      <c r="J281" s="634" t="s">
        <v>304</v>
      </c>
      <c r="K281" s="635"/>
      <c r="L281" s="626"/>
      <c r="M281" s="627"/>
      <c r="N281" s="636" t="s">
        <v>3156</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3158</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3153</v>
      </c>
      <c r="K283" s="635"/>
      <c r="L283" s="626"/>
      <c r="M283" s="627"/>
      <c r="N283" s="636" t="s">
        <v>3160</v>
      </c>
      <c r="O283" s="636" t="s">
        <v>3897</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3132</v>
      </c>
      <c r="F284" s="637"/>
      <c r="G284" s="631" t="s">
        <v>1054</v>
      </c>
      <c r="H284" s="632" t="s">
        <v>537</v>
      </c>
      <c r="I284" s="638"/>
      <c r="J284" s="634" t="s">
        <v>3155</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3157</v>
      </c>
      <c r="K285" s="635"/>
      <c r="L285" s="626"/>
      <c r="M285" s="627"/>
      <c r="N285" s="507" t="s">
        <v>3868</v>
      </c>
      <c r="O285" s="507" t="s">
        <v>3085</v>
      </c>
      <c r="P285" s="1579" t="s">
        <v>3240</v>
      </c>
      <c r="Q285" s="631"/>
      <c r="S285" s="611"/>
      <c r="T285" s="611"/>
      <c r="U285" s="611"/>
      <c r="V285" s="611"/>
      <c r="W285" s="611"/>
      <c r="X285" s="611"/>
      <c r="Y285" s="611"/>
      <c r="Z285" s="611"/>
      <c r="AA285" s="611"/>
    </row>
    <row r="286" spans="1:27" ht="12" customHeight="1">
      <c r="A286" s="611"/>
      <c r="B286" s="640"/>
      <c r="C286" s="507" t="s">
        <v>3895</v>
      </c>
      <c r="D286" s="507" t="s">
        <v>2036</v>
      </c>
      <c r="E286" s="637" t="s">
        <v>3896</v>
      </c>
      <c r="F286" s="637"/>
      <c r="G286" s="631" t="s">
        <v>1056</v>
      </c>
      <c r="H286" s="632" t="s">
        <v>536</v>
      </c>
      <c r="I286" s="638"/>
      <c r="J286" s="634" t="s">
        <v>3159</v>
      </c>
      <c r="K286" s="635"/>
      <c r="L286" s="626"/>
      <c r="M286" s="627"/>
      <c r="N286" s="636" t="s">
        <v>3162</v>
      </c>
      <c r="O286" s="636" t="s">
        <v>257</v>
      </c>
      <c r="P286" s="507" t="s">
        <v>2474</v>
      </c>
      <c r="Q286" s="631"/>
      <c r="S286" s="611"/>
      <c r="T286" s="611"/>
      <c r="U286" s="611"/>
      <c r="V286" s="611"/>
      <c r="W286" s="611"/>
      <c r="X286" s="611"/>
      <c r="Y286" s="611"/>
      <c r="Z286" s="611"/>
      <c r="AA286" s="611"/>
    </row>
    <row r="287" spans="1:27" ht="12" customHeight="1">
      <c r="A287" s="611"/>
      <c r="B287" s="640"/>
      <c r="C287" s="507" t="s">
        <v>3897</v>
      </c>
      <c r="D287" s="507" t="s">
        <v>2012</v>
      </c>
      <c r="E287" s="630" t="s">
        <v>3898</v>
      </c>
      <c r="F287" s="630"/>
      <c r="G287" s="631" t="s">
        <v>3026</v>
      </c>
      <c r="H287" s="632" t="s">
        <v>537</v>
      </c>
      <c r="I287" s="633"/>
      <c r="J287" s="634" t="s">
        <v>3161</v>
      </c>
      <c r="K287" s="635"/>
      <c r="L287" s="626"/>
      <c r="M287" s="627"/>
      <c r="N287" s="636" t="s">
        <v>3164</v>
      </c>
      <c r="O287" s="636" t="s">
        <v>257</v>
      </c>
      <c r="P287" s="507" t="s">
        <v>2475</v>
      </c>
      <c r="Q287" s="631"/>
      <c r="S287" s="611"/>
      <c r="T287" s="611"/>
      <c r="U287" s="611"/>
      <c r="V287" s="611"/>
      <c r="W287" s="611"/>
      <c r="X287" s="611"/>
      <c r="Y287" s="611"/>
      <c r="Z287" s="611"/>
      <c r="AA287" s="611"/>
    </row>
    <row r="288" spans="1:27" ht="12" customHeight="1">
      <c r="A288" s="611"/>
      <c r="B288" s="640"/>
      <c r="C288" s="507" t="s">
        <v>3899</v>
      </c>
      <c r="D288" s="507" t="s">
        <v>2036</v>
      </c>
      <c r="E288" s="637" t="s">
        <v>217</v>
      </c>
      <c r="F288" s="637"/>
      <c r="G288" s="631" t="s">
        <v>2699</v>
      </c>
      <c r="H288" s="632" t="s">
        <v>537</v>
      </c>
      <c r="I288" s="638"/>
      <c r="J288" s="634" t="s">
        <v>3163</v>
      </c>
      <c r="K288" s="635"/>
      <c r="L288" s="626"/>
      <c r="M288" s="627"/>
      <c r="N288" s="636" t="s">
        <v>1021</v>
      </c>
      <c r="O288" s="636" t="s">
        <v>3085</v>
      </c>
      <c r="P288" s="507" t="s">
        <v>2476</v>
      </c>
      <c r="Q288" s="631"/>
      <c r="S288" s="611"/>
      <c r="T288" s="611"/>
      <c r="U288" s="611"/>
      <c r="V288" s="611"/>
      <c r="W288" s="611"/>
      <c r="X288" s="611"/>
      <c r="Y288" s="611"/>
      <c r="Z288" s="611"/>
      <c r="AA288" s="611"/>
    </row>
    <row r="289" spans="1:27" ht="12" customHeight="1">
      <c r="A289" s="611"/>
      <c r="B289" s="640"/>
      <c r="C289" s="507" t="s">
        <v>3900</v>
      </c>
      <c r="D289" s="507" t="s">
        <v>2036</v>
      </c>
      <c r="E289" s="637" t="s">
        <v>1339</v>
      </c>
      <c r="F289" s="637"/>
      <c r="G289" s="631" t="s">
        <v>3885</v>
      </c>
      <c r="H289" s="632" t="s">
        <v>537</v>
      </c>
      <c r="I289" s="638"/>
      <c r="J289" s="634" t="s">
        <v>1020</v>
      </c>
      <c r="K289" s="635"/>
      <c r="L289" s="626"/>
      <c r="M289" s="627"/>
      <c r="N289" s="636" t="s">
        <v>3475</v>
      </c>
      <c r="O289" s="636" t="s">
        <v>137</v>
      </c>
      <c r="P289" s="507" t="s">
        <v>2477</v>
      </c>
      <c r="Q289" s="631"/>
      <c r="S289" s="611"/>
      <c r="T289" s="611"/>
      <c r="U289" s="611"/>
      <c r="V289" s="611"/>
      <c r="W289" s="611"/>
      <c r="X289" s="611"/>
      <c r="Y289" s="611"/>
      <c r="Z289" s="611"/>
      <c r="AA289" s="611"/>
    </row>
    <row r="290" spans="1:27" ht="12" customHeight="1">
      <c r="A290" s="611"/>
      <c r="B290" s="640"/>
      <c r="C290" s="507" t="s">
        <v>3901</v>
      </c>
      <c r="D290" s="507" t="s">
        <v>2036</v>
      </c>
      <c r="E290" s="630" t="s">
        <v>3133</v>
      </c>
      <c r="F290" s="630"/>
      <c r="G290" s="631" t="s">
        <v>956</v>
      </c>
      <c r="H290" s="632" t="s">
        <v>537</v>
      </c>
      <c r="I290" s="633"/>
      <c r="J290" s="634" t="s">
        <v>3473</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3902</v>
      </c>
      <c r="D291" s="507" t="s">
        <v>2036</v>
      </c>
      <c r="E291" s="630" t="s">
        <v>3133</v>
      </c>
      <c r="F291" s="630"/>
      <c r="G291" s="631" t="s">
        <v>956</v>
      </c>
      <c r="H291" s="632" t="s">
        <v>537</v>
      </c>
      <c r="I291" s="633"/>
      <c r="J291" s="634" t="s">
        <v>3474</v>
      </c>
      <c r="K291" s="635"/>
      <c r="L291" s="626"/>
      <c r="M291" s="627"/>
      <c r="N291" s="636" t="s">
        <v>1927</v>
      </c>
      <c r="O291" s="636" t="s">
        <v>3371</v>
      </c>
      <c r="P291" s="507" t="s">
        <v>2479</v>
      </c>
      <c r="Q291" s="631"/>
      <c r="S291" s="611"/>
      <c r="T291" s="611"/>
      <c r="U291" s="611"/>
      <c r="V291" s="611"/>
      <c r="W291" s="611"/>
      <c r="X291" s="611"/>
      <c r="Y291" s="611"/>
      <c r="Z291" s="611"/>
      <c r="AA291" s="611"/>
    </row>
    <row r="292" spans="1:27" ht="12" customHeight="1">
      <c r="A292" s="611"/>
      <c r="B292" s="640"/>
      <c r="C292" s="507" t="s">
        <v>3903</v>
      </c>
      <c r="D292" s="507" t="s">
        <v>2012</v>
      </c>
      <c r="E292" s="637" t="s">
        <v>1339</v>
      </c>
      <c r="F292" s="637"/>
      <c r="G292" s="631" t="s">
        <v>3885</v>
      </c>
      <c r="H292" s="632" t="s">
        <v>537</v>
      </c>
      <c r="I292" s="638"/>
      <c r="J292" s="634" t="s">
        <v>1924</v>
      </c>
      <c r="K292" s="635"/>
      <c r="L292" s="626"/>
      <c r="M292" s="627"/>
      <c r="N292" s="636" t="s">
        <v>3757</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3027</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3885</v>
      </c>
      <c r="H294" s="632" t="s">
        <v>537</v>
      </c>
      <c r="I294" s="638"/>
      <c r="J294" s="634" t="s">
        <v>1928</v>
      </c>
      <c r="K294" s="635"/>
      <c r="L294" s="626"/>
      <c r="M294" s="627"/>
      <c r="N294" s="636" t="s">
        <v>3771</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3028</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3885</v>
      </c>
      <c r="H296" s="632" t="s">
        <v>537</v>
      </c>
      <c r="I296" s="638"/>
      <c r="J296" s="634" t="s">
        <v>1931</v>
      </c>
      <c r="K296" s="635"/>
      <c r="L296" s="626"/>
      <c r="M296" s="627"/>
      <c r="N296" s="636" t="s">
        <v>95</v>
      </c>
      <c r="O296" s="636" t="s">
        <v>3289</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3029</v>
      </c>
      <c r="H297" s="632" t="s">
        <v>536</v>
      </c>
      <c r="I297" s="633"/>
      <c r="J297" s="634" t="s">
        <v>3772</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3030</v>
      </c>
      <c r="H298" s="632" t="s">
        <v>536</v>
      </c>
      <c r="I298" s="638"/>
      <c r="J298" s="634" t="s">
        <v>92</v>
      </c>
      <c r="K298" s="635"/>
      <c r="L298" s="626"/>
      <c r="M298" s="627"/>
      <c r="N298" s="636" t="s">
        <v>1889</v>
      </c>
      <c r="O298" s="636" t="s">
        <v>3024</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3031</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2813</v>
      </c>
      <c r="H300" s="632" t="s">
        <v>536</v>
      </c>
      <c r="I300" s="633"/>
      <c r="J300" s="634" t="s">
        <v>94</v>
      </c>
      <c r="K300" s="635"/>
      <c r="L300" s="626"/>
      <c r="M300" s="627"/>
      <c r="N300" s="636" t="s">
        <v>1893</v>
      </c>
      <c r="O300" s="636" t="s">
        <v>1738</v>
      </c>
      <c r="P300" s="1578"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2814</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2815</v>
      </c>
      <c r="H302" s="632" t="s">
        <v>536</v>
      </c>
      <c r="I302" s="633"/>
      <c r="J302" s="634" t="s">
        <v>1888</v>
      </c>
      <c r="K302" s="635"/>
      <c r="L302" s="626"/>
      <c r="M302" s="627"/>
      <c r="N302" s="636" t="s">
        <v>1897</v>
      </c>
      <c r="O302" s="636" t="s">
        <v>3289</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3910</v>
      </c>
      <c r="H303" s="632" t="s">
        <v>537</v>
      </c>
      <c r="I303" s="638"/>
      <c r="J303" s="634" t="s">
        <v>1890</v>
      </c>
      <c r="K303" s="635"/>
      <c r="L303" s="626"/>
      <c r="M303" s="627"/>
      <c r="N303" s="636" t="s">
        <v>3763</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3885</v>
      </c>
      <c r="H304" s="632" t="s">
        <v>537</v>
      </c>
      <c r="I304" s="638"/>
      <c r="J304" s="634" t="s">
        <v>1892</v>
      </c>
      <c r="K304" s="635"/>
      <c r="L304" s="626"/>
      <c r="M304" s="627"/>
      <c r="N304" s="636" t="s">
        <v>217</v>
      </c>
      <c r="O304" s="636" t="s">
        <v>3899</v>
      </c>
      <c r="P304" s="1578"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3273</v>
      </c>
      <c r="F305" s="630"/>
      <c r="G305" s="631" t="s">
        <v>2816</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3274</v>
      </c>
      <c r="D306" s="507" t="s">
        <v>1872</v>
      </c>
      <c r="E306" s="630" t="s">
        <v>3275</v>
      </c>
      <c r="F306" s="630"/>
      <c r="G306" s="631" t="s">
        <v>2817</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3276</v>
      </c>
      <c r="D308" s="507" t="s">
        <v>1872</v>
      </c>
      <c r="E308" s="637" t="s">
        <v>3277</v>
      </c>
      <c r="F308" s="637"/>
      <c r="G308" s="631" t="s">
        <v>670</v>
      </c>
      <c r="H308" s="632" t="s">
        <v>536</v>
      </c>
      <c r="I308" s="638"/>
      <c r="J308" s="634" t="s">
        <v>1484</v>
      </c>
      <c r="K308" s="635"/>
      <c r="L308" s="626"/>
      <c r="M308" s="627"/>
      <c r="N308" s="507" t="s">
        <v>3869</v>
      </c>
      <c r="O308" s="507" t="s">
        <v>3757</v>
      </c>
      <c r="P308" s="1579" t="s">
        <v>3240</v>
      </c>
      <c r="Q308" s="611"/>
      <c r="S308" s="611"/>
      <c r="T308" s="611"/>
      <c r="U308" s="611"/>
      <c r="V308" s="611"/>
      <c r="W308" s="611"/>
      <c r="X308" s="611"/>
      <c r="Y308" s="611"/>
      <c r="Z308" s="611"/>
      <c r="AA308" s="611"/>
    </row>
    <row r="309" spans="1:27" ht="12" customHeight="1">
      <c r="A309" s="611"/>
      <c r="B309" s="640"/>
      <c r="C309" s="507" t="s">
        <v>3278</v>
      </c>
      <c r="D309" s="507" t="s">
        <v>2036</v>
      </c>
      <c r="E309" s="637" t="s">
        <v>1339</v>
      </c>
      <c r="F309" s="637"/>
      <c r="G309" s="631" t="s">
        <v>3885</v>
      </c>
      <c r="H309" s="632" t="s">
        <v>537</v>
      </c>
      <c r="I309" s="638"/>
      <c r="J309" s="634" t="s">
        <v>1485</v>
      </c>
      <c r="K309" s="635"/>
      <c r="L309" s="626"/>
      <c r="M309" s="627"/>
      <c r="N309" s="636" t="s">
        <v>3239</v>
      </c>
      <c r="O309" s="636" t="s">
        <v>1741</v>
      </c>
      <c r="P309" s="507" t="s">
        <v>2494</v>
      </c>
      <c r="Q309" s="631"/>
      <c r="S309" s="611"/>
      <c r="T309" s="611"/>
      <c r="U309" s="611"/>
      <c r="V309" s="611"/>
      <c r="W309" s="611"/>
      <c r="X309" s="611"/>
      <c r="Y309" s="611"/>
      <c r="Z309" s="611"/>
      <c r="AA309" s="611"/>
    </row>
    <row r="310" spans="1:27" ht="12" customHeight="1">
      <c r="A310" s="611"/>
      <c r="B310" s="640"/>
      <c r="C310" s="507" t="s">
        <v>3279</v>
      </c>
      <c r="D310" s="507" t="s">
        <v>2012</v>
      </c>
      <c r="E310" s="637" t="s">
        <v>3280</v>
      </c>
      <c r="F310" s="637"/>
      <c r="G310" s="631" t="s">
        <v>284</v>
      </c>
      <c r="H310" s="632" t="s">
        <v>536</v>
      </c>
      <c r="I310" s="633"/>
      <c r="J310" s="634" t="s">
        <v>1487</v>
      </c>
      <c r="K310" s="635"/>
      <c r="L310" s="626"/>
      <c r="M310" s="627"/>
      <c r="N310" s="636" t="s">
        <v>3150</v>
      </c>
      <c r="O310" s="636" t="s">
        <v>2662</v>
      </c>
      <c r="P310" s="507" t="s">
        <v>2495</v>
      </c>
      <c r="Q310" s="631"/>
      <c r="S310" s="611"/>
      <c r="T310" s="611"/>
      <c r="U310" s="611"/>
      <c r="V310" s="611"/>
      <c r="W310" s="611"/>
      <c r="X310" s="611"/>
      <c r="Y310" s="611"/>
      <c r="Z310" s="611"/>
      <c r="AA310" s="611"/>
    </row>
    <row r="311" spans="1:27" ht="12" customHeight="1">
      <c r="A311" s="611"/>
      <c r="B311" s="640"/>
      <c r="C311" s="507" t="s">
        <v>3281</v>
      </c>
      <c r="D311" s="507" t="s">
        <v>1872</v>
      </c>
      <c r="E311" s="630" t="s">
        <v>3282</v>
      </c>
      <c r="F311" s="630"/>
      <c r="G311" s="631" t="s">
        <v>2134</v>
      </c>
      <c r="H311" s="632" t="s">
        <v>536</v>
      </c>
      <c r="I311" s="633"/>
      <c r="J311" s="634" t="s">
        <v>1489</v>
      </c>
      <c r="K311" s="635"/>
      <c r="L311" s="626"/>
      <c r="M311" s="627"/>
      <c r="N311" s="636" t="s">
        <v>3152</v>
      </c>
      <c r="O311" s="636" t="s">
        <v>3820</v>
      </c>
      <c r="P311" s="507" t="s">
        <v>2496</v>
      </c>
      <c r="Q311" s="631"/>
      <c r="S311" s="611"/>
      <c r="T311" s="611"/>
      <c r="U311" s="611"/>
      <c r="V311" s="611"/>
      <c r="W311" s="611"/>
      <c r="X311" s="611"/>
      <c r="Y311" s="611"/>
      <c r="Z311" s="611"/>
      <c r="AA311" s="611"/>
    </row>
    <row r="312" spans="1:27" ht="12" customHeight="1">
      <c r="A312" s="611"/>
      <c r="B312" s="640"/>
      <c r="C312" s="507" t="s">
        <v>3283</v>
      </c>
      <c r="D312" s="507" t="s">
        <v>1872</v>
      </c>
      <c r="E312" s="630" t="s">
        <v>3284</v>
      </c>
      <c r="F312" s="630"/>
      <c r="G312" s="631" t="s">
        <v>2135</v>
      </c>
      <c r="H312" s="632" t="s">
        <v>536</v>
      </c>
      <c r="I312" s="633"/>
      <c r="J312" s="634" t="s">
        <v>3237</v>
      </c>
      <c r="K312" s="635"/>
      <c r="L312" s="626"/>
      <c r="M312" s="627"/>
      <c r="N312" s="636" t="s">
        <v>1414</v>
      </c>
      <c r="O312" s="636" t="s">
        <v>413</v>
      </c>
      <c r="P312" s="1578" t="s">
        <v>1412</v>
      </c>
      <c r="Q312" s="611"/>
      <c r="S312" s="611"/>
      <c r="T312" s="611"/>
      <c r="U312" s="611"/>
      <c r="V312" s="611"/>
      <c r="W312" s="611"/>
      <c r="X312" s="611"/>
      <c r="Y312" s="611"/>
      <c r="Z312" s="611"/>
      <c r="AA312" s="611"/>
    </row>
    <row r="313" spans="1:27" ht="12" customHeight="1">
      <c r="A313" s="611"/>
      <c r="B313" s="640"/>
      <c r="C313" s="507" t="s">
        <v>3285</v>
      </c>
      <c r="D313" s="507" t="s">
        <v>2036</v>
      </c>
      <c r="E313" s="630" t="s">
        <v>3286</v>
      </c>
      <c r="F313" s="630"/>
      <c r="G313" s="631" t="s">
        <v>2136</v>
      </c>
      <c r="H313" s="632" t="s">
        <v>536</v>
      </c>
      <c r="I313" s="633"/>
      <c r="J313" s="634" t="s">
        <v>3238</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3287</v>
      </c>
      <c r="D314" s="507" t="s">
        <v>2036</v>
      </c>
      <c r="E314" s="630" t="s">
        <v>3288</v>
      </c>
      <c r="F314" s="630"/>
      <c r="G314" s="631" t="s">
        <v>3091</v>
      </c>
      <c r="H314" s="632" t="s">
        <v>536</v>
      </c>
      <c r="I314" s="633"/>
      <c r="J314" s="634" t="s">
        <v>3149</v>
      </c>
      <c r="K314" s="635"/>
      <c r="L314" s="626"/>
      <c r="M314" s="627"/>
      <c r="N314" s="507" t="s">
        <v>3870</v>
      </c>
      <c r="O314" s="507" t="s">
        <v>2028</v>
      </c>
      <c r="P314" s="1579" t="s">
        <v>3240</v>
      </c>
      <c r="Q314" s="631"/>
      <c r="S314" s="611"/>
      <c r="T314" s="611"/>
      <c r="U314" s="611"/>
      <c r="V314" s="611"/>
      <c r="W314" s="611"/>
      <c r="X314" s="611"/>
      <c r="Y314" s="611"/>
      <c r="Z314" s="611"/>
      <c r="AA314" s="611"/>
    </row>
    <row r="315" spans="1:27" ht="12" customHeight="1">
      <c r="A315" s="611"/>
      <c r="B315" s="640"/>
      <c r="C315" s="507" t="s">
        <v>3289</v>
      </c>
      <c r="D315" s="507" t="s">
        <v>1872</v>
      </c>
      <c r="E315" s="630" t="s">
        <v>3290</v>
      </c>
      <c r="F315" s="630"/>
      <c r="G315" s="631" t="s">
        <v>3092</v>
      </c>
      <c r="H315" s="632" t="s">
        <v>536</v>
      </c>
      <c r="I315" s="633"/>
      <c r="J315" s="634" t="s">
        <v>3151</v>
      </c>
      <c r="K315" s="635"/>
      <c r="L315" s="626"/>
      <c r="M315" s="627"/>
      <c r="N315" s="636" t="s">
        <v>934</v>
      </c>
      <c r="O315" s="636" t="s">
        <v>3900</v>
      </c>
      <c r="P315" s="507" t="s">
        <v>2498</v>
      </c>
      <c r="Q315" s="611"/>
      <c r="S315" s="611"/>
      <c r="T315" s="611"/>
      <c r="U315" s="611"/>
      <c r="V315" s="611"/>
      <c r="W315" s="611"/>
      <c r="X315" s="611"/>
      <c r="Y315" s="611"/>
      <c r="Z315" s="611"/>
      <c r="AA315" s="611"/>
    </row>
    <row r="316" spans="1:27" ht="12" customHeight="1">
      <c r="A316" s="611"/>
      <c r="B316" s="640"/>
      <c r="C316" s="507" t="s">
        <v>3291</v>
      </c>
      <c r="D316" s="507" t="s">
        <v>2036</v>
      </c>
      <c r="E316" s="630" t="s">
        <v>1461</v>
      </c>
      <c r="F316" s="630"/>
      <c r="G316" s="631" t="s">
        <v>3093</v>
      </c>
      <c r="H316" s="632" t="s">
        <v>536</v>
      </c>
      <c r="I316" s="633"/>
      <c r="J316" s="634" t="s">
        <v>930</v>
      </c>
      <c r="K316" s="635"/>
      <c r="L316" s="626"/>
      <c r="M316" s="627"/>
      <c r="N316" s="636" t="s">
        <v>3819</v>
      </c>
      <c r="O316" s="636" t="s">
        <v>3902</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3094</v>
      </c>
      <c r="H317" s="632" t="s">
        <v>536</v>
      </c>
      <c r="I317" s="638"/>
      <c r="J317" s="634" t="s">
        <v>931</v>
      </c>
      <c r="K317" s="635"/>
      <c r="L317" s="626"/>
      <c r="M317" s="627"/>
      <c r="N317" s="636" t="s">
        <v>938</v>
      </c>
      <c r="O317" s="636" t="s">
        <v>3287</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3095</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2977</v>
      </c>
      <c r="F320" s="637"/>
      <c r="G320" s="631" t="s">
        <v>1810</v>
      </c>
      <c r="H320" s="632" t="s">
        <v>536</v>
      </c>
      <c r="I320" s="638"/>
      <c r="J320" s="634" t="s">
        <v>936</v>
      </c>
      <c r="K320" s="635"/>
      <c r="L320" s="626"/>
      <c r="M320" s="627"/>
      <c r="N320" s="636" t="s">
        <v>843</v>
      </c>
      <c r="O320" s="636" t="s">
        <v>216</v>
      </c>
      <c r="P320" s="1578" t="s">
        <v>1412</v>
      </c>
      <c r="Q320" s="631"/>
      <c r="S320" s="611"/>
      <c r="T320" s="611"/>
      <c r="U320" s="611"/>
      <c r="V320" s="611"/>
      <c r="W320" s="611"/>
      <c r="X320" s="611"/>
      <c r="Y320" s="611"/>
      <c r="Z320" s="611"/>
      <c r="AA320" s="611"/>
    </row>
    <row r="321" spans="1:27" ht="12" customHeight="1">
      <c r="A321" s="611"/>
      <c r="B321" s="640"/>
      <c r="C321" s="507" t="s">
        <v>2978</v>
      </c>
      <c r="D321" s="507" t="s">
        <v>1872</v>
      </c>
      <c r="E321" s="637" t="s">
        <v>2979</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2980</v>
      </c>
      <c r="D322" s="507" t="s">
        <v>2012</v>
      </c>
      <c r="E322" s="637" t="s">
        <v>2981</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2982</v>
      </c>
      <c r="D323" s="507" t="s">
        <v>1872</v>
      </c>
      <c r="E323" s="637" t="s">
        <v>2983</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2984</v>
      </c>
      <c r="D324" s="507" t="s">
        <v>2036</v>
      </c>
      <c r="E324" s="630" t="s">
        <v>2985</v>
      </c>
      <c r="F324" s="630"/>
      <c r="G324" s="631" t="s">
        <v>1814</v>
      </c>
      <c r="H324" s="632" t="s">
        <v>536</v>
      </c>
      <c r="I324" s="638"/>
      <c r="J324" s="634" t="s">
        <v>842</v>
      </c>
      <c r="K324" s="635"/>
      <c r="L324" s="626"/>
      <c r="M324" s="627"/>
      <c r="N324" s="636" t="s">
        <v>3040</v>
      </c>
      <c r="O324" s="636" t="s">
        <v>3371</v>
      </c>
      <c r="P324" s="507" t="s">
        <v>2506</v>
      </c>
      <c r="Q324" s="631"/>
      <c r="S324" s="611"/>
      <c r="T324" s="611"/>
      <c r="U324" s="611"/>
      <c r="V324" s="611"/>
      <c r="W324" s="611"/>
      <c r="X324" s="611"/>
      <c r="Y324" s="611"/>
      <c r="Z324" s="611"/>
      <c r="AA324" s="611"/>
    </row>
    <row r="325" spans="1:27" ht="12" customHeight="1">
      <c r="A325" s="611"/>
      <c r="B325" s="640"/>
      <c r="C325" s="507" t="s">
        <v>2986</v>
      </c>
      <c r="D325" s="507" t="s">
        <v>1872</v>
      </c>
      <c r="E325" s="637" t="s">
        <v>2987</v>
      </c>
      <c r="F325" s="637"/>
      <c r="G325" s="631" t="s">
        <v>1815</v>
      </c>
      <c r="H325" s="632" t="s">
        <v>536</v>
      </c>
      <c r="I325" s="638"/>
      <c r="J325" s="634" t="s">
        <v>1799</v>
      </c>
      <c r="K325" s="635"/>
      <c r="L325" s="626"/>
      <c r="M325" s="627"/>
      <c r="N325" s="636" t="s">
        <v>3042</v>
      </c>
      <c r="O325" s="636" t="s">
        <v>3903</v>
      </c>
      <c r="P325" s="507" t="s">
        <v>2507</v>
      </c>
      <c r="Q325" s="631"/>
      <c r="S325" s="611"/>
      <c r="T325" s="611"/>
      <c r="U325" s="611"/>
      <c r="V325" s="611"/>
      <c r="W325" s="611"/>
      <c r="X325" s="611"/>
      <c r="Y325" s="611"/>
      <c r="Z325" s="611"/>
      <c r="AA325" s="611"/>
    </row>
    <row r="326" spans="1:27" ht="12" customHeight="1">
      <c r="A326" s="611"/>
      <c r="B326" s="640"/>
      <c r="C326" s="507" t="s">
        <v>2988</v>
      </c>
      <c r="D326" s="507" t="s">
        <v>2036</v>
      </c>
      <c r="E326" s="637" t="s">
        <v>2021</v>
      </c>
      <c r="F326" s="637"/>
      <c r="G326" s="631" t="s">
        <v>3888</v>
      </c>
      <c r="H326" s="632" t="s">
        <v>537</v>
      </c>
      <c r="I326" s="638"/>
      <c r="J326" s="634" t="s">
        <v>1236</v>
      </c>
      <c r="K326" s="635"/>
      <c r="L326" s="626"/>
      <c r="M326" s="627"/>
      <c r="N326" s="636" t="s">
        <v>431</v>
      </c>
      <c r="O326" s="636" t="s">
        <v>3024</v>
      </c>
      <c r="P326" s="507" t="s">
        <v>2508</v>
      </c>
      <c r="Q326" s="631"/>
      <c r="S326" s="611"/>
      <c r="T326" s="611"/>
      <c r="U326" s="611"/>
      <c r="V326" s="611"/>
      <c r="W326" s="611"/>
      <c r="X326" s="611"/>
      <c r="Y326" s="611"/>
      <c r="Z326" s="611"/>
      <c r="AA326" s="611"/>
    </row>
    <row r="327" spans="1:27" ht="12" customHeight="1">
      <c r="A327" s="611"/>
      <c r="B327" s="640"/>
      <c r="C327" s="507" t="s">
        <v>2989</v>
      </c>
      <c r="D327" s="507" t="s">
        <v>2012</v>
      </c>
      <c r="E327" s="637" t="s">
        <v>2990</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3083</v>
      </c>
      <c r="D328" s="507" t="s">
        <v>2036</v>
      </c>
      <c r="E328" s="630" t="s">
        <v>3084</v>
      </c>
      <c r="F328" s="630"/>
      <c r="G328" s="631" t="s">
        <v>1817</v>
      </c>
      <c r="H328" s="632" t="s">
        <v>536</v>
      </c>
      <c r="I328" s="638"/>
      <c r="J328" s="634" t="s">
        <v>3039</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3085</v>
      </c>
      <c r="D329" s="507" t="s">
        <v>2012</v>
      </c>
      <c r="E329" s="637" t="s">
        <v>2271</v>
      </c>
      <c r="F329" s="637"/>
      <c r="G329" s="631" t="s">
        <v>2697</v>
      </c>
      <c r="H329" s="632" t="s">
        <v>537</v>
      </c>
      <c r="I329" s="638"/>
      <c r="J329" s="634" t="s">
        <v>3041</v>
      </c>
      <c r="K329" s="635"/>
      <c r="L329" s="626"/>
      <c r="M329" s="627"/>
      <c r="N329" s="636" t="s">
        <v>437</v>
      </c>
      <c r="O329" s="636" t="s">
        <v>3632</v>
      </c>
      <c r="P329" s="507" t="s">
        <v>2511</v>
      </c>
      <c r="Q329" s="631"/>
      <c r="S329" s="611"/>
      <c r="T329" s="611"/>
      <c r="U329" s="611"/>
      <c r="V329" s="611"/>
      <c r="W329" s="611"/>
      <c r="X329" s="611"/>
      <c r="Y329" s="611"/>
      <c r="Z329" s="611"/>
      <c r="AA329" s="611"/>
    </row>
    <row r="330" spans="1:27" ht="12" customHeight="1">
      <c r="A330" s="611"/>
      <c r="B330" s="640"/>
      <c r="C330" s="507" t="s">
        <v>3086</v>
      </c>
      <c r="D330" s="507" t="s">
        <v>2036</v>
      </c>
      <c r="E330" s="637" t="s">
        <v>1339</v>
      </c>
      <c r="F330" s="637"/>
      <c r="G330" s="631" t="s">
        <v>3885</v>
      </c>
      <c r="H330" s="632" t="s">
        <v>537</v>
      </c>
      <c r="I330" s="638"/>
      <c r="J330" s="634" t="s">
        <v>430</v>
      </c>
      <c r="K330" s="635"/>
      <c r="L330" s="626"/>
      <c r="M330" s="627"/>
      <c r="N330" s="636" t="s">
        <v>439</v>
      </c>
      <c r="O330" s="636" t="s">
        <v>2937</v>
      </c>
      <c r="P330" s="507" t="s">
        <v>2512</v>
      </c>
      <c r="Q330" s="631"/>
      <c r="S330" s="611"/>
      <c r="T330" s="611"/>
      <c r="U330" s="611"/>
      <c r="V330" s="611"/>
      <c r="W330" s="611"/>
      <c r="X330" s="611"/>
      <c r="Y330" s="611"/>
      <c r="Z330" s="611"/>
      <c r="AA330" s="611"/>
    </row>
    <row r="331" spans="1:27" ht="12" customHeight="1">
      <c r="A331" s="611"/>
      <c r="B331" s="640"/>
      <c r="C331" s="507" t="s">
        <v>3087</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3011</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3257</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3283</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3561</v>
      </c>
      <c r="H336" s="632" t="s">
        <v>536</v>
      </c>
      <c r="I336" s="638"/>
      <c r="J336" s="634" t="s">
        <v>3010</v>
      </c>
      <c r="K336" s="635"/>
      <c r="L336" s="626"/>
      <c r="M336" s="627"/>
      <c r="N336" s="636" t="s">
        <v>211</v>
      </c>
      <c r="O336" s="636" t="s">
        <v>2936</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3562</v>
      </c>
      <c r="H337" s="632" t="s">
        <v>536</v>
      </c>
      <c r="I337" s="633"/>
      <c r="J337" s="634" t="s">
        <v>3012</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3024</v>
      </c>
      <c r="D338" s="507" t="s">
        <v>2012</v>
      </c>
      <c r="E338" s="630" t="s">
        <v>431</v>
      </c>
      <c r="F338" s="630"/>
      <c r="G338" s="631" t="s">
        <v>3563</v>
      </c>
      <c r="H338" s="632" t="s">
        <v>537</v>
      </c>
      <c r="I338" s="638"/>
      <c r="J338" s="634" t="s">
        <v>3256</v>
      </c>
      <c r="K338" s="635"/>
      <c r="L338" s="626"/>
      <c r="M338" s="627"/>
      <c r="N338" s="507" t="s">
        <v>3871</v>
      </c>
      <c r="O338" s="507" t="s">
        <v>3087</v>
      </c>
      <c r="P338" s="1579" t="s">
        <v>3240</v>
      </c>
      <c r="Q338" s="631"/>
      <c r="S338" s="611"/>
      <c r="T338" s="611"/>
      <c r="U338" s="611"/>
      <c r="V338" s="611"/>
      <c r="W338" s="611"/>
      <c r="X338" s="611"/>
      <c r="Y338" s="611"/>
      <c r="Z338" s="611"/>
      <c r="AA338" s="611"/>
    </row>
    <row r="339" spans="1:27" ht="12" customHeight="1">
      <c r="A339" s="611"/>
      <c r="B339" s="640"/>
      <c r="C339" s="507" t="s">
        <v>3025</v>
      </c>
      <c r="D339" s="507" t="s">
        <v>1872</v>
      </c>
      <c r="E339" s="637" t="s">
        <v>3629</v>
      </c>
      <c r="F339" s="637"/>
      <c r="G339" s="631" t="s">
        <v>3564</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3630</v>
      </c>
      <c r="D340" s="507" t="s">
        <v>2036</v>
      </c>
      <c r="E340" s="637" t="s">
        <v>3631</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3632</v>
      </c>
      <c r="D341" s="507" t="s">
        <v>2036</v>
      </c>
      <c r="E341" s="637" t="s">
        <v>3633</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3634</v>
      </c>
      <c r="D342" s="507" t="s">
        <v>1872</v>
      </c>
      <c r="E342" s="637" t="s">
        <v>2811</v>
      </c>
      <c r="F342" s="637"/>
      <c r="G342" s="631" t="s">
        <v>1804</v>
      </c>
      <c r="H342" s="632" t="s">
        <v>537</v>
      </c>
      <c r="I342" s="611"/>
      <c r="J342" s="634" t="s">
        <v>1372</v>
      </c>
      <c r="K342" s="635"/>
      <c r="L342" s="626"/>
      <c r="M342" s="627"/>
      <c r="N342" s="636" t="s">
        <v>3669</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3671</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3872</v>
      </c>
      <c r="O344" s="507" t="s">
        <v>1010</v>
      </c>
      <c r="P344" s="1579"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484</v>
      </c>
      <c r="O345" s="636" t="s">
        <v>3763</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486</v>
      </c>
      <c r="O346" s="636" t="s">
        <v>3276</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1464</v>
      </c>
      <c r="O349" s="636" t="s">
        <v>3761</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2993</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964</v>
      </c>
      <c r="P351" s="1579"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3874</v>
      </c>
      <c r="O359" s="507" t="s">
        <v>3278</v>
      </c>
      <c r="P359" s="1579"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3875</v>
      </c>
      <c r="O360" s="507" t="s">
        <v>3818</v>
      </c>
      <c r="P360" s="1579"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3799</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2868</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2867</v>
      </c>
      <c r="K367" s="635"/>
      <c r="L367" s="626"/>
      <c r="M367" s="627"/>
      <c r="N367" s="636" t="s">
        <v>2870</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2869</v>
      </c>
      <c r="K368" s="635"/>
      <c r="L368" s="626"/>
      <c r="M368" s="627"/>
      <c r="N368" s="636" t="s">
        <v>2953</v>
      </c>
      <c r="O368" s="636" t="s">
        <v>3763</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1579"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1579"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1579"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1579"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3758</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3410</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3618</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3757</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3567</v>
      </c>
      <c r="O390" s="636" t="s">
        <v>3755</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79"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3763</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3369</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3733</v>
      </c>
      <c r="O400" s="636" t="s">
        <v>2938</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3285</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78"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3289</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3086</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3632</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3818</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2938</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79"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3278</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3815</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2980</v>
      </c>
      <c r="P420" s="1579"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3371</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3083</v>
      </c>
      <c r="P426" s="1579"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3818</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3815</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3426</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3082</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2980</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1676</v>
      </c>
      <c r="O439" s="507" t="s">
        <v>1727</v>
      </c>
      <c r="P439" s="1579"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3274</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3014</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3903</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3265</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2631</v>
      </c>
      <c r="O444" s="636" t="s">
        <v>2984</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3758</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3466</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3446</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3448</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1677</v>
      </c>
      <c r="O453" s="507" t="s">
        <v>2270</v>
      </c>
      <c r="P453" s="1579"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1678</v>
      </c>
      <c r="O455" s="507" t="s">
        <v>3757</v>
      </c>
      <c r="P455" s="1579"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79"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2988</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3378</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3086</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2858</v>
      </c>
      <c r="K469" s="635"/>
      <c r="L469" s="626"/>
      <c r="M469" s="627"/>
      <c r="N469" s="636" t="s">
        <v>3556</v>
      </c>
      <c r="O469" s="636" t="s">
        <v>3757</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3760</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79"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3071</v>
      </c>
      <c r="O477" s="636" t="s">
        <v>3085</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2984</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968</v>
      </c>
      <c r="O479" s="636" t="s">
        <v>3757</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79"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1682</v>
      </c>
      <c r="O483" s="507" t="s">
        <v>1741</v>
      </c>
      <c r="P483" s="1579"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3816</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3283</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3483</v>
      </c>
      <c r="O490" s="636" t="s">
        <v>3902</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3485</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1683</v>
      </c>
      <c r="O493" s="507" t="s">
        <v>3083</v>
      </c>
      <c r="P493" s="1579"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3085</v>
      </c>
      <c r="P495" s="1578"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78"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3086</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2938</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3085</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3757</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3281</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2938</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3770</v>
      </c>
      <c r="O510" s="636" t="s">
        <v>2978</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3760</v>
      </c>
      <c r="P511" s="1579"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3895</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3289</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2938</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3900</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3760</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3279</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3815</v>
      </c>
      <c r="P520" s="1579"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3902</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3632</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3468</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78"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3172</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3086</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79"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1686</v>
      </c>
      <c r="O546" s="507" t="s">
        <v>232</v>
      </c>
      <c r="P546" s="1579"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3818</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3895</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3757</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3906</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3189</v>
      </c>
      <c r="O552" s="636" t="s">
        <v>3763</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1867</v>
      </c>
      <c r="P558" s="1579"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78"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498</v>
      </c>
      <c r="O563" s="636" t="s">
        <v>3900</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3274</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3818</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2339</v>
      </c>
      <c r="O567" s="636" t="s">
        <v>3761</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3698</v>
      </c>
      <c r="O570" s="636" t="s">
        <v>3763</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79"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79"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79"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2859</v>
      </c>
      <c r="O574" s="636" t="s">
        <v>3901</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2872</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2874</v>
      </c>
      <c r="O576" s="636" t="s">
        <v>3369</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2871</v>
      </c>
      <c r="K577" s="635"/>
      <c r="L577" s="626"/>
      <c r="M577" s="627"/>
      <c r="N577" s="636" t="s">
        <v>2877</v>
      </c>
      <c r="O577" s="636" t="s">
        <v>3369</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2873</v>
      </c>
      <c r="K578" s="635"/>
      <c r="L578" s="626"/>
      <c r="M578" s="627"/>
      <c r="N578" s="636" t="s">
        <v>2879</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2875</v>
      </c>
      <c r="K579" s="635"/>
      <c r="L579" s="626"/>
      <c r="M579" s="627"/>
      <c r="N579" s="636" t="s">
        <v>2881</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2876</v>
      </c>
      <c r="K580" s="635"/>
      <c r="L580" s="626"/>
      <c r="M580" s="627"/>
      <c r="N580" s="636" t="s">
        <v>2883</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2878</v>
      </c>
      <c r="K581" s="635"/>
      <c r="L581" s="626"/>
      <c r="M581" s="627"/>
      <c r="N581" s="636" t="s">
        <v>3901</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2880</v>
      </c>
      <c r="K582" s="635"/>
      <c r="L582" s="626"/>
      <c r="M582" s="627"/>
      <c r="N582" s="636" t="s">
        <v>3017</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2882</v>
      </c>
      <c r="K583" s="635"/>
      <c r="L583" s="626"/>
      <c r="M583" s="627"/>
      <c r="N583" s="636" t="s">
        <v>2846</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2884</v>
      </c>
      <c r="K584" s="635"/>
      <c r="L584" s="626"/>
      <c r="M584" s="627"/>
      <c r="N584" s="636" t="s">
        <v>3902</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2885</v>
      </c>
      <c r="K585" s="635"/>
      <c r="L585" s="626"/>
      <c r="M585" s="627"/>
      <c r="N585" s="636" t="s">
        <v>2628</v>
      </c>
      <c r="O585" s="636" t="s">
        <v>3274</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2845</v>
      </c>
      <c r="K586" s="635"/>
      <c r="L586" s="626"/>
      <c r="M586" s="627"/>
      <c r="N586" s="636" t="s">
        <v>1419</v>
      </c>
      <c r="O586" s="636" t="s">
        <v>3281</v>
      </c>
      <c r="P586" s="1578"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3402</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3404</v>
      </c>
      <c r="O588" s="636" t="s">
        <v>3278</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3900</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79"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3215</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2164</v>
      </c>
      <c r="O601" s="636" t="s">
        <v>415</v>
      </c>
      <c r="P601" s="627" t="s">
        <v>1164</v>
      </c>
      <c r="Q601" s="611"/>
      <c r="R601" s="507" t="s">
        <v>3864</v>
      </c>
      <c r="S601" s="507" t="s">
        <v>964</v>
      </c>
      <c r="T601" s="1579"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79" t="s">
        <v>3240</v>
      </c>
      <c r="Q602" s="611"/>
      <c r="R602" s="507" t="s">
        <v>3865</v>
      </c>
      <c r="S602" s="507" t="s">
        <v>414</v>
      </c>
      <c r="T602" s="1579"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3866</v>
      </c>
      <c r="S603" s="507" t="s">
        <v>3757</v>
      </c>
      <c r="T603" s="1579"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3867</v>
      </c>
      <c r="S604" s="507"/>
      <c r="T604" s="1579"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3146</v>
      </c>
      <c r="O605" s="636" t="s">
        <v>1549</v>
      </c>
      <c r="P605" s="627" t="s">
        <v>1167</v>
      </c>
      <c r="Q605" s="611"/>
      <c r="R605" s="507" t="s">
        <v>3868</v>
      </c>
      <c r="S605" s="507" t="s">
        <v>3085</v>
      </c>
      <c r="T605" s="1579"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1168</v>
      </c>
      <c r="Q606" s="611"/>
      <c r="R606" s="507" t="s">
        <v>3869</v>
      </c>
      <c r="S606" s="507" t="s">
        <v>3757</v>
      </c>
      <c r="T606" s="1579"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369</v>
      </c>
      <c r="O607" s="636" t="s">
        <v>3025</v>
      </c>
      <c r="P607" s="627" t="s">
        <v>1169</v>
      </c>
      <c r="Q607" s="611"/>
      <c r="R607" s="507" t="s">
        <v>3870</v>
      </c>
      <c r="S607" s="507" t="s">
        <v>2028</v>
      </c>
      <c r="T607" s="1579"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3283</v>
      </c>
      <c r="P608" s="627" t="s">
        <v>1170</v>
      </c>
      <c r="Q608" s="611"/>
      <c r="R608" s="507" t="s">
        <v>3871</v>
      </c>
      <c r="S608" s="507" t="s">
        <v>3087</v>
      </c>
      <c r="T608" s="1579"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3872</v>
      </c>
      <c r="S609" s="507" t="s">
        <v>1010</v>
      </c>
      <c r="T609" s="1579"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3873</v>
      </c>
      <c r="S610" s="507" t="s">
        <v>964</v>
      </c>
      <c r="T610" s="1579"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3874</v>
      </c>
      <c r="S611" s="507" t="s">
        <v>3278</v>
      </c>
      <c r="T611" s="1579"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3875</v>
      </c>
      <c r="S612" s="507" t="s">
        <v>3818</v>
      </c>
      <c r="T612" s="1579"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3900</v>
      </c>
      <c r="P613" s="627" t="s">
        <v>1175</v>
      </c>
      <c r="Q613" s="611"/>
      <c r="R613" s="507" t="s">
        <v>3371</v>
      </c>
      <c r="S613" s="507" t="s">
        <v>3815</v>
      </c>
      <c r="T613" s="1579"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3634</v>
      </c>
      <c r="P614" s="627" t="s">
        <v>1176</v>
      </c>
      <c r="Q614" s="611"/>
      <c r="R614" s="507" t="s">
        <v>3876</v>
      </c>
      <c r="S614" s="507" t="s">
        <v>3278</v>
      </c>
      <c r="T614" s="1579"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3760</v>
      </c>
      <c r="P615" s="627" t="s">
        <v>1177</v>
      </c>
      <c r="Q615" s="611"/>
      <c r="R615" s="507" t="s">
        <v>3877</v>
      </c>
      <c r="S615" s="507" t="s">
        <v>3760</v>
      </c>
      <c r="T615" s="1579"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2851</v>
      </c>
      <c r="O616" s="636" t="s">
        <v>124</v>
      </c>
      <c r="P616" s="1578" t="s">
        <v>1412</v>
      </c>
      <c r="Q616" s="611"/>
      <c r="R616" s="507" t="s">
        <v>3878</v>
      </c>
      <c r="S616" s="507" t="s">
        <v>3085</v>
      </c>
      <c r="T616" s="1579"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2850</v>
      </c>
      <c r="K617" s="635"/>
      <c r="L617" s="626"/>
      <c r="M617" s="627"/>
      <c r="N617" s="636" t="s">
        <v>1730</v>
      </c>
      <c r="O617" s="636" t="s">
        <v>1220</v>
      </c>
      <c r="P617" s="627" t="s">
        <v>1178</v>
      </c>
      <c r="Q617" s="611"/>
      <c r="R617" s="507" t="s">
        <v>1672</v>
      </c>
      <c r="S617" s="507" t="s">
        <v>2181</v>
      </c>
      <c r="T617" s="1579"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2852</v>
      </c>
      <c r="K618" s="635"/>
      <c r="L618" s="626"/>
      <c r="M618" s="627"/>
      <c r="N618" s="507" t="s">
        <v>1692</v>
      </c>
      <c r="O618" s="507" t="s">
        <v>1551</v>
      </c>
      <c r="P618" s="1579" t="s">
        <v>3240</v>
      </c>
      <c r="Q618" s="611"/>
      <c r="R618" s="507" t="s">
        <v>1498</v>
      </c>
      <c r="S618" s="507" t="s">
        <v>1734</v>
      </c>
      <c r="T618" s="1579"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2853</v>
      </c>
      <c r="K619" s="635"/>
      <c r="L619" s="626"/>
      <c r="M619" s="627"/>
      <c r="N619" s="636" t="s">
        <v>1734</v>
      </c>
      <c r="O619" s="636" t="s">
        <v>2025</v>
      </c>
      <c r="P619" s="627" t="s">
        <v>1179</v>
      </c>
      <c r="Q619" s="611"/>
      <c r="R619" s="507" t="s">
        <v>1673</v>
      </c>
      <c r="S619" s="507" t="s">
        <v>964</v>
      </c>
      <c r="T619" s="1579"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2980</v>
      </c>
      <c r="T620" s="1579"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79" t="s">
        <v>3240</v>
      </c>
      <c r="Q621" s="611"/>
      <c r="R621" s="507" t="s">
        <v>1675</v>
      </c>
      <c r="S621" s="507" t="s">
        <v>3083</v>
      </c>
      <c r="T621" s="1579"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79"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1181</v>
      </c>
      <c r="Q623" s="1580"/>
      <c r="R623" s="507" t="s">
        <v>1677</v>
      </c>
      <c r="S623" s="507" t="s">
        <v>2270</v>
      </c>
      <c r="T623" s="1579"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1182</v>
      </c>
      <c r="Q624" s="611"/>
      <c r="R624" s="507" t="s">
        <v>1678</v>
      </c>
      <c r="S624" s="507" t="s">
        <v>3757</v>
      </c>
      <c r="T624" s="1579"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79" t="s">
        <v>3240</v>
      </c>
      <c r="Q625" s="611"/>
      <c r="R625" s="507" t="s">
        <v>1679</v>
      </c>
      <c r="S625" s="507" t="s">
        <v>215</v>
      </c>
      <c r="T625" s="1579"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1695</v>
      </c>
      <c r="O626" s="507" t="s">
        <v>411</v>
      </c>
      <c r="P626" s="1579" t="s">
        <v>3240</v>
      </c>
      <c r="Q626" s="611"/>
      <c r="R626" s="507" t="s">
        <v>1680</v>
      </c>
      <c r="S626" s="507" t="s">
        <v>2035</v>
      </c>
      <c r="T626" s="1579"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2028</v>
      </c>
      <c r="P627" s="627" t="s">
        <v>1183</v>
      </c>
      <c r="Q627" s="611"/>
      <c r="R627" s="507" t="s">
        <v>1681</v>
      </c>
      <c r="S627" s="507" t="s">
        <v>2270</v>
      </c>
      <c r="T627" s="1579"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1184</v>
      </c>
      <c r="Q628" s="611"/>
      <c r="R628" s="507" t="s">
        <v>1682</v>
      </c>
      <c r="S628" s="507" t="s">
        <v>1741</v>
      </c>
      <c r="T628" s="1579"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1185</v>
      </c>
      <c r="Q629" s="611"/>
      <c r="R629" s="507" t="s">
        <v>1683</v>
      </c>
      <c r="S629" s="507" t="s">
        <v>3083</v>
      </c>
      <c r="T629" s="1579"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2178</v>
      </c>
      <c r="P630" s="627" t="s">
        <v>1186</v>
      </c>
      <c r="Q630" s="611"/>
      <c r="R630" s="636" t="s">
        <v>1416</v>
      </c>
      <c r="S630" s="636" t="s">
        <v>1464</v>
      </c>
      <c r="T630" s="1579"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1011</v>
      </c>
      <c r="P631" s="627" t="s">
        <v>1187</v>
      </c>
      <c r="Q631" s="611"/>
      <c r="R631" s="507" t="s">
        <v>1684</v>
      </c>
      <c r="S631" s="507" t="s">
        <v>3760</v>
      </c>
      <c r="T631" s="1579"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1188</v>
      </c>
      <c r="Q632" s="611"/>
      <c r="R632" s="507" t="s">
        <v>2369</v>
      </c>
      <c r="S632" s="507" t="s">
        <v>3815</v>
      </c>
      <c r="T632" s="1579"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3291</v>
      </c>
      <c r="P633" s="627" t="s">
        <v>1189</v>
      </c>
      <c r="Q633" s="611"/>
      <c r="R633" s="507" t="s">
        <v>1685</v>
      </c>
      <c r="S633" s="507"/>
      <c r="T633" s="1579"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79"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79"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3281</v>
      </c>
      <c r="P636" s="627" t="s">
        <v>1192</v>
      </c>
      <c r="Q636" s="611"/>
      <c r="R636" s="507" t="s">
        <v>3416</v>
      </c>
      <c r="S636" s="507" t="s">
        <v>1867</v>
      </c>
      <c r="T636" s="1579"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79"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79"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79"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79"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3757</v>
      </c>
      <c r="P641" s="627" t="s">
        <v>1197</v>
      </c>
      <c r="Q641" s="611"/>
      <c r="R641" s="507" t="s">
        <v>1691</v>
      </c>
      <c r="S641" s="507" t="s">
        <v>2664</v>
      </c>
      <c r="T641" s="1579"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3763</v>
      </c>
      <c r="P642" s="627" t="s">
        <v>1198</v>
      </c>
      <c r="Q642" s="611"/>
      <c r="R642" s="507" t="s">
        <v>1692</v>
      </c>
      <c r="S642" s="507" t="s">
        <v>1551</v>
      </c>
      <c r="T642" s="1579"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3819</v>
      </c>
      <c r="P643" s="627" t="s">
        <v>1199</v>
      </c>
      <c r="Q643" s="611"/>
      <c r="R643" s="507" t="s">
        <v>1693</v>
      </c>
      <c r="S643" s="507" t="s">
        <v>137</v>
      </c>
      <c r="T643" s="1579"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79" t="s">
        <v>3240</v>
      </c>
      <c r="Q644" s="611"/>
      <c r="R644" s="507" t="s">
        <v>1694</v>
      </c>
      <c r="S644" s="507" t="s">
        <v>964</v>
      </c>
      <c r="T644" s="1579"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3025</v>
      </c>
      <c r="P645" s="627" t="s">
        <v>1200</v>
      </c>
      <c r="Q645" s="611"/>
      <c r="R645" s="507" t="s">
        <v>1695</v>
      </c>
      <c r="S645" s="507" t="s">
        <v>411</v>
      </c>
      <c r="T645" s="1579"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79"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3396</v>
      </c>
      <c r="O647" s="636" t="s">
        <v>3274</v>
      </c>
      <c r="P647" s="627" t="s">
        <v>1202</v>
      </c>
      <c r="Q647" s="611"/>
      <c r="R647" s="507" t="s">
        <v>1420</v>
      </c>
      <c r="S647" s="507" t="s">
        <v>2014</v>
      </c>
      <c r="T647" s="1579"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1002</v>
      </c>
      <c r="P648" s="627" t="s">
        <v>1203</v>
      </c>
      <c r="Q648" s="611"/>
      <c r="R648" s="507" t="s">
        <v>1697</v>
      </c>
      <c r="S648" s="507" t="s">
        <v>1010</v>
      </c>
      <c r="T648" s="1579"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2799</v>
      </c>
      <c r="O649" s="636" t="s">
        <v>1222</v>
      </c>
      <c r="P649" s="627" t="s">
        <v>1204</v>
      </c>
      <c r="Q649" s="611"/>
      <c r="R649" s="507" t="s">
        <v>1698</v>
      </c>
      <c r="S649" s="507" t="s">
        <v>2270</v>
      </c>
      <c r="T649" s="1579"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3806</v>
      </c>
      <c r="O650" s="636" t="s">
        <v>3085</v>
      </c>
      <c r="P650" s="627" t="s">
        <v>1205</v>
      </c>
      <c r="Q650" s="611"/>
      <c r="R650" s="507" t="s">
        <v>1699</v>
      </c>
      <c r="S650" s="507" t="s">
        <v>964</v>
      </c>
      <c r="T650" s="1579"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1867</v>
      </c>
      <c r="P651" s="627" t="s">
        <v>1206</v>
      </c>
      <c r="Q651" s="611"/>
      <c r="R651" s="507" t="s">
        <v>1700</v>
      </c>
      <c r="S651" s="507" t="s">
        <v>1002</v>
      </c>
      <c r="T651" s="1579"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2515</v>
      </c>
      <c r="O652" s="636" t="s">
        <v>1004</v>
      </c>
      <c r="P652" s="627" t="s">
        <v>747</v>
      </c>
      <c r="Q652" s="611"/>
      <c r="R652" s="507" t="s">
        <v>1701</v>
      </c>
      <c r="S652" s="507" t="s">
        <v>215</v>
      </c>
      <c r="T652" s="1579"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78" t="s">
        <v>1412</v>
      </c>
      <c r="Q653" s="611"/>
      <c r="R653" s="507" t="s">
        <v>1702</v>
      </c>
      <c r="S653" s="507" t="s">
        <v>2980</v>
      </c>
      <c r="T653" s="1579"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79" t="s">
        <v>3240</v>
      </c>
      <c r="Q654" s="611"/>
      <c r="R654" s="507" t="s">
        <v>1703</v>
      </c>
      <c r="S654" s="507" t="s">
        <v>3083</v>
      </c>
      <c r="T654" s="1579"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3895</v>
      </c>
      <c r="P655" s="627" t="s">
        <v>748</v>
      </c>
      <c r="Q655" s="611"/>
      <c r="R655" s="507" t="s">
        <v>1704</v>
      </c>
      <c r="S655" s="507" t="s">
        <v>964</v>
      </c>
      <c r="T655" s="1579"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79"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79" t="s">
        <v>3240</v>
      </c>
      <c r="Q657" s="611"/>
      <c r="R657" s="507" t="s">
        <v>1706</v>
      </c>
      <c r="S657" s="507" t="s">
        <v>3760</v>
      </c>
      <c r="T657" s="1579"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3659</v>
      </c>
      <c r="O658" s="636" t="s">
        <v>120</v>
      </c>
      <c r="P658" s="627" t="s">
        <v>749</v>
      </c>
      <c r="Q658" s="611"/>
      <c r="R658" s="507" t="s">
        <v>1707</v>
      </c>
      <c r="S658" s="507" t="s">
        <v>215</v>
      </c>
      <c r="T658" s="1579"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79"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2003</v>
      </c>
      <c r="O660" s="636" t="s">
        <v>2978</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3813</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1699</v>
      </c>
      <c r="O665" s="507" t="s">
        <v>964</v>
      </c>
      <c r="P665" s="1579"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3818</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79"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3287</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3818</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3068</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79"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2945</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742</v>
      </c>
      <c r="O681" s="636" t="s">
        <v>3086</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3825</v>
      </c>
      <c r="O683" s="636" t="s">
        <v>3816</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1697</v>
      </c>
      <c r="O687" s="507" t="s">
        <v>1010</v>
      </c>
      <c r="P687" s="1579"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3196</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1532</v>
      </c>
      <c r="O691" s="636" t="s">
        <v>3369</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3780</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2961</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2964</v>
      </c>
      <c r="O695" s="636" t="s">
        <v>3369</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2966</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3634</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1399</v>
      </c>
      <c r="O698" s="636" t="s">
        <v>3278</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1702</v>
      </c>
      <c r="O699" s="507" t="s">
        <v>2980</v>
      </c>
      <c r="P699" s="1579"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1703</v>
      </c>
      <c r="O700" s="507" t="s">
        <v>3083</v>
      </c>
      <c r="P700" s="1579"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2123</v>
      </c>
      <c r="O703" s="636" t="s">
        <v>3369</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3385</v>
      </c>
      <c r="O704" s="636" t="s">
        <v>2986</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3387</v>
      </c>
      <c r="O705" s="636" t="s">
        <v>3274</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3389</v>
      </c>
      <c r="O706" s="636" t="s">
        <v>3634</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1747</v>
      </c>
      <c r="O707" s="636" t="s">
        <v>3285</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3138</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418</v>
      </c>
      <c r="P711" s="627" t="s">
        <v>560</v>
      </c>
      <c r="Q711" s="1580"/>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2837</v>
      </c>
      <c r="K712" s="635"/>
      <c r="L712" s="626"/>
      <c r="M712" s="627"/>
      <c r="N712" s="636" t="s">
        <v>3048</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1421</v>
      </c>
      <c r="O716" s="636" t="s">
        <v>3083</v>
      </c>
      <c r="P716" s="1578"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3222</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3477</v>
      </c>
      <c r="O719" s="636" t="s">
        <v>2936</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3480</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3632</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79"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3024</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3818</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3369</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79"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3024</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2978</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78"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3760</v>
      </c>
      <c r="P747" s="1579"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3086</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2938</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3634</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3901</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3087</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2984</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8"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79"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79"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2938</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3285</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3083</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2980</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C12" sqref="C12"/>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2011-030 Water Tower Park Apartments, Gray, Jones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950</v>
      </c>
      <c r="B3" s="465" t="s">
        <v>2911</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3058</v>
      </c>
      <c r="C5" s="465" t="s">
        <v>2907</v>
      </c>
      <c r="H5" s="1443" t="s">
        <v>3986</v>
      </c>
      <c r="I5" s="1190"/>
      <c r="J5" s="1190"/>
      <c r="K5" s="1190"/>
      <c r="L5" s="1190"/>
      <c r="M5" s="1190"/>
      <c r="N5" s="1191"/>
      <c r="O5" s="713" t="s">
        <v>3065</v>
      </c>
      <c r="P5" s="713"/>
      <c r="Q5" s="1443" t="s">
        <v>4026</v>
      </c>
      <c r="R5" s="1190"/>
      <c r="S5" s="1191"/>
    </row>
    <row r="6" spans="1:19" s="458" customFormat="1" ht="12.6" customHeight="1">
      <c r="D6" s="508"/>
      <c r="E6" s="464" t="s">
        <v>1641</v>
      </c>
      <c r="F6" s="472"/>
      <c r="H6" s="1443" t="s">
        <v>3922</v>
      </c>
      <c r="I6" s="1190"/>
      <c r="J6" s="1190"/>
      <c r="K6" s="1190"/>
      <c r="L6" s="1190"/>
      <c r="M6" s="1190"/>
      <c r="N6" s="1191"/>
      <c r="O6" s="713" t="s">
        <v>2775</v>
      </c>
      <c r="Q6" s="1443" t="s">
        <v>3934</v>
      </c>
      <c r="R6" s="1190"/>
      <c r="S6" s="1191"/>
    </row>
    <row r="7" spans="1:19" s="458" customFormat="1" ht="12.6" customHeight="1">
      <c r="D7" s="508"/>
      <c r="E7" s="464" t="s">
        <v>953</v>
      </c>
      <c r="H7" s="1443" t="s">
        <v>3923</v>
      </c>
      <c r="I7" s="1190"/>
      <c r="J7" s="1191"/>
      <c r="K7" s="1473" t="s">
        <v>1254</v>
      </c>
      <c r="L7" s="1443"/>
      <c r="M7" s="1190"/>
      <c r="N7" s="1191"/>
      <c r="O7" s="713" t="s">
        <v>2833</v>
      </c>
      <c r="Q7" s="1474">
        <v>5135882689</v>
      </c>
      <c r="R7" s="1475"/>
      <c r="S7" s="1476"/>
    </row>
    <row r="8" spans="1:19" s="458" customFormat="1" ht="12.6" customHeight="1">
      <c r="D8" s="508"/>
      <c r="E8" s="464" t="s">
        <v>2829</v>
      </c>
      <c r="H8" s="1440" t="s">
        <v>2053</v>
      </c>
      <c r="I8" s="723" t="s">
        <v>1973</v>
      </c>
      <c r="J8" s="1477">
        <v>452498325</v>
      </c>
      <c r="K8" s="1191"/>
      <c r="L8" s="398" t="s">
        <v>1976</v>
      </c>
      <c r="N8" s="1478" t="s">
        <v>3938</v>
      </c>
      <c r="O8" s="713" t="s">
        <v>3054</v>
      </c>
      <c r="Q8" s="1474">
        <v>9372396365</v>
      </c>
      <c r="R8" s="1475"/>
      <c r="S8" s="1476"/>
    </row>
    <row r="9" spans="1:19" s="458" customFormat="1" ht="12.6" customHeight="1">
      <c r="D9" s="508"/>
      <c r="E9" s="464" t="s">
        <v>3060</v>
      </c>
      <c r="H9" s="1474">
        <v>5137748400</v>
      </c>
      <c r="I9" s="1476"/>
      <c r="J9" s="1479"/>
      <c r="K9" s="723" t="s">
        <v>2832</v>
      </c>
      <c r="L9" s="1480">
        <v>5135881600</v>
      </c>
      <c r="M9" s="1191"/>
      <c r="N9" s="466" t="s">
        <v>3059</v>
      </c>
      <c r="O9" s="1481" t="s">
        <v>3935</v>
      </c>
      <c r="P9" s="1482"/>
      <c r="Q9" s="1482"/>
      <c r="R9" s="1482"/>
      <c r="S9" s="1483"/>
    </row>
    <row r="10" spans="1:19" s="458" customFormat="1" ht="13.15" customHeight="1">
      <c r="D10" s="508"/>
      <c r="E10" s="441" t="s">
        <v>997</v>
      </c>
      <c r="H10" s="501"/>
      <c r="L10" s="550" t="s">
        <v>1974</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3061</v>
      </c>
      <c r="C12" s="465" t="s">
        <v>2908</v>
      </c>
      <c r="F12" s="465"/>
      <c r="G12" s="465"/>
      <c r="H12" s="465"/>
      <c r="I12" s="465"/>
      <c r="J12" s="465"/>
      <c r="K12" s="465"/>
      <c r="L12" s="397" t="s">
        <v>1971</v>
      </c>
      <c r="O12" s="1484" t="s">
        <v>1972</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3062</v>
      </c>
      <c r="D14" s="506" t="s">
        <v>3063</v>
      </c>
      <c r="H14" s="721"/>
      <c r="I14" s="721"/>
      <c r="J14" s="721"/>
      <c r="K14" s="459"/>
      <c r="L14" s="397" t="s">
        <v>1975</v>
      </c>
      <c r="M14" s="482"/>
      <c r="O14" s="1485" t="s">
        <v>1970</v>
      </c>
      <c r="P14" s="1485"/>
      <c r="Q14" s="1485"/>
      <c r="R14" s="1485"/>
      <c r="S14" s="1485"/>
    </row>
    <row r="15" spans="1:19" s="458" customFormat="1" ht="4.1500000000000004" customHeight="1">
      <c r="D15" s="510"/>
      <c r="E15" s="511"/>
      <c r="H15" s="1486"/>
      <c r="I15" s="1486"/>
      <c r="J15" s="1486"/>
      <c r="K15" s="714"/>
      <c r="L15" s="1486"/>
      <c r="M15" s="1486"/>
      <c r="N15" s="714"/>
      <c r="O15" s="1487"/>
      <c r="P15" s="1487"/>
      <c r="Q15" s="723"/>
      <c r="R15" s="1487"/>
      <c r="S15" s="1487"/>
    </row>
    <row r="16" spans="1:19" s="458" customFormat="1" ht="12.6" customHeight="1">
      <c r="D16" s="461" t="s">
        <v>3211</v>
      </c>
      <c r="E16" s="458" t="s">
        <v>2909</v>
      </c>
      <c r="H16" s="1443" t="s">
        <v>3936</v>
      </c>
      <c r="I16" s="1190"/>
      <c r="J16" s="1190"/>
      <c r="K16" s="1190"/>
      <c r="L16" s="1190"/>
      <c r="M16" s="1190"/>
      <c r="N16" s="1191"/>
      <c r="O16" s="713" t="s">
        <v>3065</v>
      </c>
      <c r="P16" s="713"/>
      <c r="Q16" s="1443" t="s">
        <v>3921</v>
      </c>
      <c r="R16" s="1190"/>
      <c r="S16" s="1191"/>
    </row>
    <row r="17" spans="4:19" s="458" customFormat="1" ht="12.6" customHeight="1">
      <c r="D17" s="508"/>
      <c r="E17" s="464" t="s">
        <v>1641</v>
      </c>
      <c r="F17" s="472"/>
      <c r="H17" s="1443" t="s">
        <v>3937</v>
      </c>
      <c r="I17" s="1190"/>
      <c r="J17" s="1190"/>
      <c r="K17" s="1190"/>
      <c r="L17" s="1190"/>
      <c r="M17" s="1190"/>
      <c r="N17" s="1191"/>
      <c r="O17" s="713" t="s">
        <v>2775</v>
      </c>
      <c r="Q17" s="1443" t="s">
        <v>3934</v>
      </c>
      <c r="R17" s="1190"/>
      <c r="S17" s="1191"/>
    </row>
    <row r="18" spans="4:19" s="458" customFormat="1" ht="12.6" customHeight="1">
      <c r="D18" s="508"/>
      <c r="E18" s="464" t="s">
        <v>953</v>
      </c>
      <c r="H18" s="1443" t="s">
        <v>3923</v>
      </c>
      <c r="I18" s="1190"/>
      <c r="J18" s="1191"/>
      <c r="O18" s="713" t="s">
        <v>2833</v>
      </c>
      <c r="Q18" s="1474">
        <v>5135882694</v>
      </c>
      <c r="R18" s="1475"/>
      <c r="S18" s="1476"/>
    </row>
    <row r="19" spans="4:19" s="458" customFormat="1" ht="12.6" customHeight="1">
      <c r="D19" s="461"/>
      <c r="E19" s="464" t="s">
        <v>2829</v>
      </c>
      <c r="H19" s="1440" t="s">
        <v>2053</v>
      </c>
      <c r="I19" s="723" t="s">
        <v>1973</v>
      </c>
      <c r="J19" s="1477">
        <v>452498325</v>
      </c>
      <c r="K19" s="1191"/>
      <c r="L19" s="398" t="s">
        <v>1976</v>
      </c>
      <c r="N19" s="1478" t="s">
        <v>3938</v>
      </c>
      <c r="O19" s="713" t="s">
        <v>3054</v>
      </c>
      <c r="Q19" s="1474">
        <v>5132563810</v>
      </c>
      <c r="R19" s="1475"/>
      <c r="S19" s="1476"/>
    </row>
    <row r="20" spans="4:19" s="458" customFormat="1" ht="12.6" customHeight="1">
      <c r="D20" s="508"/>
      <c r="E20" s="464" t="s">
        <v>3060</v>
      </c>
      <c r="H20" s="1474">
        <v>5137748400</v>
      </c>
      <c r="I20" s="1476"/>
      <c r="J20" s="1479"/>
      <c r="K20" s="723" t="s">
        <v>2832</v>
      </c>
      <c r="L20" s="1480">
        <v>9379135452</v>
      </c>
      <c r="M20" s="1191"/>
      <c r="N20" s="466" t="s">
        <v>3059</v>
      </c>
      <c r="O20" s="1481" t="s">
        <v>3924</v>
      </c>
      <c r="P20" s="1482"/>
      <c r="Q20" s="1482"/>
      <c r="R20" s="1482"/>
      <c r="S20" s="1483"/>
    </row>
    <row r="21" spans="4:19" ht="4.1500000000000004" customHeight="1">
      <c r="D21" s="491"/>
      <c r="H21" s="1488"/>
      <c r="I21" s="1488"/>
      <c r="J21" s="1488"/>
      <c r="K21" s="723"/>
      <c r="L21" s="1488"/>
      <c r="M21" s="1488"/>
      <c r="N21" s="714"/>
      <c r="O21" s="1487"/>
      <c r="P21" s="1487"/>
      <c r="Q21" s="723"/>
      <c r="R21" s="1487"/>
      <c r="S21" s="1487"/>
    </row>
    <row r="22" spans="4:19" s="458" customFormat="1" ht="12.6" customHeight="1">
      <c r="D22" s="461" t="s">
        <v>3212</v>
      </c>
      <c r="E22" s="458" t="s">
        <v>2910</v>
      </c>
      <c r="F22" s="721"/>
      <c r="H22" s="1443"/>
      <c r="I22" s="1190"/>
      <c r="J22" s="1190"/>
      <c r="K22" s="1190"/>
      <c r="L22" s="1190"/>
      <c r="M22" s="1190"/>
      <c r="N22" s="1191"/>
      <c r="O22" s="713" t="s">
        <v>3065</v>
      </c>
      <c r="P22" s="713"/>
      <c r="Q22" s="1443"/>
      <c r="R22" s="1190"/>
      <c r="S22" s="1191"/>
    </row>
    <row r="23" spans="4:19" s="458" customFormat="1" ht="12.6" customHeight="1">
      <c r="D23" s="508"/>
      <c r="E23" s="464" t="s">
        <v>1641</v>
      </c>
      <c r="F23" s="472"/>
      <c r="H23" s="1443"/>
      <c r="I23" s="1190"/>
      <c r="J23" s="1190"/>
      <c r="K23" s="1190"/>
      <c r="L23" s="1190"/>
      <c r="M23" s="1190"/>
      <c r="N23" s="1191"/>
      <c r="O23" s="713" t="s">
        <v>2775</v>
      </c>
      <c r="Q23" s="1443"/>
      <c r="R23" s="1190"/>
      <c r="S23" s="1191"/>
    </row>
    <row r="24" spans="4:19" s="458" customFormat="1" ht="12.6" customHeight="1">
      <c r="D24" s="508"/>
      <c r="E24" s="464" t="s">
        <v>953</v>
      </c>
      <c r="H24" s="1443"/>
      <c r="I24" s="1190"/>
      <c r="J24" s="1191"/>
      <c r="O24" s="713" t="s">
        <v>2833</v>
      </c>
      <c r="Q24" s="1474"/>
      <c r="R24" s="1475"/>
      <c r="S24" s="1476"/>
    </row>
    <row r="25" spans="4:19" s="458" customFormat="1" ht="12.6" customHeight="1">
      <c r="E25" s="464" t="s">
        <v>2829</v>
      </c>
      <c r="H25" s="1440"/>
      <c r="I25" s="493" t="s">
        <v>3352</v>
      </c>
      <c r="J25" s="1477"/>
      <c r="K25" s="1191"/>
      <c r="O25" s="713" t="s">
        <v>3054</v>
      </c>
      <c r="Q25" s="1474"/>
      <c r="R25" s="1475"/>
      <c r="S25" s="1476"/>
    </row>
    <row r="26" spans="4:19" s="458" customFormat="1" ht="12.6" customHeight="1">
      <c r="D26" s="508"/>
      <c r="E26" s="464" t="s">
        <v>3060</v>
      </c>
      <c r="H26" s="1474"/>
      <c r="I26" s="1476"/>
      <c r="J26" s="1479"/>
      <c r="K26" s="723" t="s">
        <v>2832</v>
      </c>
      <c r="L26" s="1480"/>
      <c r="M26" s="1191"/>
      <c r="N26" s="466" t="s">
        <v>3059</v>
      </c>
      <c r="O26" s="1481"/>
      <c r="P26" s="1482"/>
      <c r="Q26" s="1482"/>
      <c r="R26" s="1482"/>
      <c r="S26" s="1483"/>
    </row>
    <row r="27" spans="4:19" s="458" customFormat="1" ht="4.1500000000000004" customHeight="1">
      <c r="D27" s="508"/>
      <c r="E27" s="721"/>
      <c r="F27" s="721"/>
      <c r="G27" s="713"/>
      <c r="H27" s="1488"/>
      <c r="I27" s="1488"/>
      <c r="J27" s="1488"/>
      <c r="K27" s="723"/>
      <c r="L27" s="1488"/>
      <c r="M27" s="1488"/>
      <c r="N27" s="714"/>
      <c r="O27" s="1487"/>
      <c r="P27" s="1487"/>
      <c r="Q27" s="723"/>
      <c r="R27" s="1487"/>
      <c r="S27" s="1487"/>
    </row>
    <row r="28" spans="4:19" s="458" customFormat="1" ht="12.6" customHeight="1">
      <c r="D28" s="461" t="s">
        <v>2761</v>
      </c>
      <c r="E28" s="458" t="s">
        <v>2910</v>
      </c>
      <c r="F28" s="721"/>
      <c r="H28" s="1443"/>
      <c r="I28" s="1190"/>
      <c r="J28" s="1190"/>
      <c r="K28" s="1190"/>
      <c r="L28" s="1190"/>
      <c r="M28" s="1190"/>
      <c r="N28" s="1191"/>
      <c r="O28" s="713" t="s">
        <v>3065</v>
      </c>
      <c r="P28" s="713"/>
      <c r="Q28" s="1443"/>
      <c r="R28" s="1190"/>
      <c r="S28" s="1191"/>
    </row>
    <row r="29" spans="4:19" s="458" customFormat="1" ht="12.6" customHeight="1">
      <c r="D29" s="508"/>
      <c r="E29" s="464" t="s">
        <v>1641</v>
      </c>
      <c r="F29" s="472"/>
      <c r="H29" s="1443"/>
      <c r="I29" s="1190"/>
      <c r="J29" s="1190"/>
      <c r="K29" s="1190"/>
      <c r="L29" s="1190"/>
      <c r="M29" s="1190"/>
      <c r="N29" s="1191"/>
      <c r="O29" s="713" t="s">
        <v>2775</v>
      </c>
      <c r="Q29" s="1443"/>
      <c r="R29" s="1190"/>
      <c r="S29" s="1191"/>
    </row>
    <row r="30" spans="4:19" s="458" customFormat="1" ht="12.6" customHeight="1">
      <c r="D30" s="508"/>
      <c r="E30" s="464" t="s">
        <v>953</v>
      </c>
      <c r="H30" s="1443"/>
      <c r="I30" s="1190"/>
      <c r="J30" s="1191"/>
      <c r="O30" s="713" t="s">
        <v>2833</v>
      </c>
      <c r="Q30" s="1474"/>
      <c r="R30" s="1475"/>
      <c r="S30" s="1476"/>
    </row>
    <row r="31" spans="4:19" s="458" customFormat="1" ht="12.6" customHeight="1">
      <c r="E31" s="464" t="s">
        <v>2829</v>
      </c>
      <c r="H31" s="1440"/>
      <c r="I31" s="493" t="s">
        <v>3352</v>
      </c>
      <c r="J31" s="1477"/>
      <c r="K31" s="1191"/>
      <c r="O31" s="713" t="s">
        <v>3054</v>
      </c>
      <c r="Q31" s="1474"/>
      <c r="R31" s="1475"/>
      <c r="S31" s="1476"/>
    </row>
    <row r="32" spans="4:19" s="458" customFormat="1" ht="12.6" customHeight="1">
      <c r="D32" s="508"/>
      <c r="E32" s="464" t="s">
        <v>3060</v>
      </c>
      <c r="H32" s="1474"/>
      <c r="I32" s="1476"/>
      <c r="J32" s="1479"/>
      <c r="K32" s="723" t="s">
        <v>2832</v>
      </c>
      <c r="L32" s="1480"/>
      <c r="M32" s="1191"/>
      <c r="N32" s="466" t="s">
        <v>3059</v>
      </c>
      <c r="O32" s="1481"/>
      <c r="P32" s="1482"/>
      <c r="Q32" s="1482"/>
      <c r="R32" s="1482"/>
      <c r="S32" s="1483"/>
    </row>
    <row r="33" spans="3:19" ht="4.1500000000000004" customHeight="1"/>
    <row r="34" spans="3:19" s="458" customFormat="1" ht="13.15" customHeight="1">
      <c r="C34" s="510" t="s">
        <v>3064</v>
      </c>
      <c r="D34" s="506" t="s">
        <v>2912</v>
      </c>
      <c r="H34" s="721"/>
      <c r="I34" s="721"/>
      <c r="J34" s="721"/>
      <c r="K34" s="721"/>
      <c r="L34" s="721"/>
      <c r="M34" s="721"/>
    </row>
    <row r="35" spans="3:19" s="458" customFormat="1" ht="4.1500000000000004" customHeight="1">
      <c r="C35" s="512"/>
      <c r="D35" s="506"/>
      <c r="H35" s="1486"/>
      <c r="I35" s="1486"/>
      <c r="J35" s="1486"/>
      <c r="K35" s="714"/>
      <c r="L35" s="1486"/>
      <c r="M35" s="1486"/>
      <c r="N35" s="714"/>
      <c r="O35" s="1487"/>
      <c r="P35" s="1487"/>
      <c r="Q35" s="723"/>
      <c r="R35" s="1487"/>
      <c r="S35" s="1487"/>
    </row>
    <row r="36" spans="3:19" s="458" customFormat="1" ht="12.6" customHeight="1">
      <c r="D36" s="461" t="s">
        <v>3211</v>
      </c>
      <c r="E36" s="458" t="s">
        <v>1239</v>
      </c>
      <c r="H36" s="1443" t="s">
        <v>4022</v>
      </c>
      <c r="I36" s="1190"/>
      <c r="J36" s="1190"/>
      <c r="K36" s="1190"/>
      <c r="L36" s="1190"/>
      <c r="M36" s="1190"/>
      <c r="N36" s="1191"/>
      <c r="O36" s="713" t="s">
        <v>3065</v>
      </c>
      <c r="P36" s="713"/>
      <c r="Q36" s="1443" t="s">
        <v>3939</v>
      </c>
      <c r="R36" s="1190"/>
      <c r="S36" s="1191"/>
    </row>
    <row r="37" spans="3:19" s="458" customFormat="1" ht="12.6" customHeight="1">
      <c r="D37" s="508"/>
      <c r="E37" s="464" t="s">
        <v>1641</v>
      </c>
      <c r="F37" s="472"/>
      <c r="H37" s="1443" t="s">
        <v>3940</v>
      </c>
      <c r="I37" s="1190"/>
      <c r="J37" s="1190"/>
      <c r="K37" s="1190"/>
      <c r="L37" s="1190"/>
      <c r="M37" s="1190"/>
      <c r="N37" s="1191"/>
      <c r="O37" s="713" t="s">
        <v>2775</v>
      </c>
      <c r="Q37" s="1443" t="s">
        <v>3941</v>
      </c>
      <c r="R37" s="1190"/>
      <c r="S37" s="1191"/>
    </row>
    <row r="38" spans="3:19" s="458" customFormat="1" ht="12.6" customHeight="1">
      <c r="D38" s="508"/>
      <c r="E38" s="464" t="s">
        <v>953</v>
      </c>
      <c r="H38" s="1443" t="s">
        <v>3942</v>
      </c>
      <c r="I38" s="1190"/>
      <c r="J38" s="1191"/>
      <c r="O38" s="713" t="s">
        <v>2833</v>
      </c>
      <c r="Q38" s="1474"/>
      <c r="R38" s="1475"/>
      <c r="S38" s="1476"/>
    </row>
    <row r="39" spans="3:19" s="458" customFormat="1" ht="12.6" customHeight="1">
      <c r="E39" s="464" t="s">
        <v>2829</v>
      </c>
      <c r="H39" s="1440" t="s">
        <v>2051</v>
      </c>
      <c r="I39" s="493" t="s">
        <v>3352</v>
      </c>
      <c r="J39" s="1477">
        <v>282113497</v>
      </c>
      <c r="K39" s="1191"/>
      <c r="O39" s="713" t="s">
        <v>3054</v>
      </c>
      <c r="Q39" s="1474">
        <v>7046084188</v>
      </c>
      <c r="R39" s="1475"/>
      <c r="S39" s="1476"/>
    </row>
    <row r="40" spans="3:19" s="458" customFormat="1" ht="12.6" customHeight="1">
      <c r="D40" s="508"/>
      <c r="E40" s="464" t="s">
        <v>3060</v>
      </c>
      <c r="H40" s="1474">
        <v>9802336462</v>
      </c>
      <c r="I40" s="1476"/>
      <c r="J40" s="1479"/>
      <c r="K40" s="723" t="s">
        <v>2832</v>
      </c>
      <c r="L40" s="1480">
        <v>9802336501</v>
      </c>
      <c r="M40" s="1191"/>
      <c r="N40" s="466" t="s">
        <v>3059</v>
      </c>
      <c r="O40" s="1481" t="s">
        <v>3943</v>
      </c>
      <c r="P40" s="1482"/>
      <c r="Q40" s="1482"/>
      <c r="R40" s="1482"/>
      <c r="S40" s="1483"/>
    </row>
    <row r="41" spans="3:19" ht="4.1500000000000004" customHeight="1">
      <c r="H41" s="1488"/>
      <c r="I41" s="1488"/>
      <c r="J41" s="1488"/>
      <c r="K41" s="723"/>
      <c r="L41" s="1488"/>
      <c r="M41" s="1488"/>
      <c r="N41" s="714"/>
      <c r="O41" s="1487"/>
      <c r="P41" s="1487"/>
      <c r="Q41" s="723"/>
      <c r="R41" s="1487"/>
      <c r="S41" s="1487"/>
    </row>
    <row r="42" spans="3:19" s="458" customFormat="1" ht="12.6" customHeight="1">
      <c r="D42" s="461" t="s">
        <v>3212</v>
      </c>
      <c r="E42" s="458" t="s">
        <v>1240</v>
      </c>
      <c r="F42" s="461"/>
      <c r="H42" s="1443" t="s">
        <v>3944</v>
      </c>
      <c r="I42" s="1190"/>
      <c r="J42" s="1190"/>
      <c r="K42" s="1190"/>
      <c r="L42" s="1190"/>
      <c r="M42" s="1190"/>
      <c r="N42" s="1191"/>
      <c r="O42" s="713" t="s">
        <v>3065</v>
      </c>
      <c r="P42" s="713"/>
      <c r="Q42" s="1443" t="s">
        <v>3939</v>
      </c>
      <c r="R42" s="1190"/>
      <c r="S42" s="1191"/>
    </row>
    <row r="43" spans="3:19" s="458" customFormat="1" ht="12.6" customHeight="1">
      <c r="D43" s="508"/>
      <c r="E43" s="464" t="s">
        <v>1641</v>
      </c>
      <c r="F43" s="472"/>
      <c r="H43" s="1443" t="s">
        <v>3940</v>
      </c>
      <c r="I43" s="1190"/>
      <c r="J43" s="1190"/>
      <c r="K43" s="1190"/>
      <c r="L43" s="1190"/>
      <c r="M43" s="1190"/>
      <c r="N43" s="1191"/>
      <c r="O43" s="713" t="s">
        <v>2775</v>
      </c>
      <c r="Q43" s="1443" t="s">
        <v>3941</v>
      </c>
      <c r="R43" s="1190"/>
      <c r="S43" s="1191"/>
    </row>
    <row r="44" spans="3:19" s="458" customFormat="1" ht="12.6" customHeight="1">
      <c r="D44" s="508"/>
      <c r="E44" s="464" t="s">
        <v>953</v>
      </c>
      <c r="H44" s="1443" t="s">
        <v>3942</v>
      </c>
      <c r="I44" s="1190"/>
      <c r="J44" s="1191"/>
      <c r="O44" s="713" t="s">
        <v>2833</v>
      </c>
      <c r="Q44" s="1474">
        <v>9802336462</v>
      </c>
      <c r="R44" s="1475"/>
      <c r="S44" s="1476"/>
    </row>
    <row r="45" spans="3:19" s="458" customFormat="1" ht="12.6" customHeight="1">
      <c r="D45" s="461"/>
      <c r="E45" s="464" t="s">
        <v>2829</v>
      </c>
      <c r="H45" s="1440" t="s">
        <v>2051</v>
      </c>
      <c r="I45" s="493" t="s">
        <v>3352</v>
      </c>
      <c r="J45" s="1477">
        <v>282110000</v>
      </c>
      <c r="K45" s="1191"/>
      <c r="O45" s="713" t="s">
        <v>3054</v>
      </c>
      <c r="Q45" s="1474">
        <v>7046084188</v>
      </c>
      <c r="R45" s="1475"/>
      <c r="S45" s="1476"/>
    </row>
    <row r="46" spans="3:19" s="458" customFormat="1" ht="12.6" customHeight="1">
      <c r="D46" s="508"/>
      <c r="E46" s="464" t="s">
        <v>3060</v>
      </c>
      <c r="H46" s="1474">
        <v>9802336462</v>
      </c>
      <c r="I46" s="1476"/>
      <c r="J46" s="1479"/>
      <c r="K46" s="723" t="s">
        <v>2832</v>
      </c>
      <c r="L46" s="1480">
        <v>9802336501</v>
      </c>
      <c r="M46" s="1191"/>
      <c r="N46" s="466" t="s">
        <v>3059</v>
      </c>
      <c r="O46" s="1481" t="s">
        <v>3943</v>
      </c>
      <c r="P46" s="1482"/>
      <c r="Q46" s="1482"/>
      <c r="R46" s="1482"/>
      <c r="S46" s="1483"/>
    </row>
    <row r="47" spans="3:19" s="458" customFormat="1" ht="4.1500000000000004" customHeight="1">
      <c r="D47" s="508"/>
      <c r="E47" s="464"/>
      <c r="F47" s="461"/>
      <c r="H47" s="501"/>
      <c r="I47" s="501"/>
      <c r="J47" s="1489"/>
      <c r="K47" s="723"/>
      <c r="L47" s="501"/>
      <c r="M47" s="501"/>
      <c r="N47" s="723"/>
      <c r="O47" s="501"/>
      <c r="P47" s="501"/>
      <c r="Q47" s="723"/>
      <c r="R47" s="501"/>
      <c r="S47" s="501"/>
    </row>
    <row r="48" spans="3:19" s="458" customFormat="1" ht="13.15" customHeight="1">
      <c r="C48" s="512" t="s">
        <v>3821</v>
      </c>
      <c r="D48" s="506" t="s">
        <v>994</v>
      </c>
      <c r="H48" s="721"/>
      <c r="I48" s="721"/>
      <c r="J48" s="721"/>
      <c r="K48" s="721"/>
      <c r="L48" s="721"/>
      <c r="M48" s="721"/>
    </row>
    <row r="49" spans="1:19" s="458" customFormat="1" ht="4.1500000000000004" customHeight="1">
      <c r="D49" s="512"/>
      <c r="E49" s="511"/>
      <c r="H49" s="1486"/>
      <c r="I49" s="1486"/>
      <c r="J49" s="1486"/>
      <c r="K49" s="714"/>
      <c r="L49" s="1486"/>
      <c r="M49" s="1486"/>
      <c r="N49" s="714"/>
      <c r="O49" s="1487"/>
      <c r="P49" s="1487"/>
      <c r="Q49" s="723"/>
      <c r="R49" s="1487"/>
      <c r="S49" s="1487"/>
    </row>
    <row r="50" spans="1:19" s="458" customFormat="1" ht="12.6" customHeight="1">
      <c r="E50" s="458" t="s">
        <v>103</v>
      </c>
      <c r="H50" s="1443"/>
      <c r="I50" s="1190"/>
      <c r="J50" s="1190"/>
      <c r="K50" s="1190"/>
      <c r="L50" s="1190"/>
      <c r="M50" s="1190"/>
      <c r="N50" s="1191"/>
      <c r="O50" s="713" t="s">
        <v>3065</v>
      </c>
      <c r="P50" s="713"/>
      <c r="Q50" s="1443"/>
      <c r="R50" s="1190"/>
      <c r="S50" s="1191"/>
    </row>
    <row r="51" spans="1:19" s="458" customFormat="1" ht="12.6" customHeight="1">
      <c r="D51" s="508"/>
      <c r="E51" s="464" t="s">
        <v>1641</v>
      </c>
      <c r="F51" s="472"/>
      <c r="H51" s="1443"/>
      <c r="I51" s="1190"/>
      <c r="J51" s="1190"/>
      <c r="K51" s="1190"/>
      <c r="L51" s="1190"/>
      <c r="M51" s="1190"/>
      <c r="N51" s="1191"/>
      <c r="O51" s="713" t="s">
        <v>2775</v>
      </c>
      <c r="Q51" s="1443"/>
      <c r="R51" s="1190"/>
      <c r="S51" s="1191"/>
    </row>
    <row r="52" spans="1:19" s="458" customFormat="1" ht="12.6" customHeight="1">
      <c r="D52" s="508"/>
      <c r="E52" s="464" t="s">
        <v>953</v>
      </c>
      <c r="H52" s="1443"/>
      <c r="I52" s="1190"/>
      <c r="J52" s="1191"/>
      <c r="O52" s="713" t="s">
        <v>2833</v>
      </c>
      <c r="Q52" s="1474"/>
      <c r="R52" s="1475"/>
      <c r="S52" s="1476"/>
    </row>
    <row r="53" spans="1:19" s="458" customFormat="1" ht="12.6" customHeight="1">
      <c r="E53" s="464" t="s">
        <v>2829</v>
      </c>
      <c r="H53" s="1440"/>
      <c r="I53" s="493" t="s">
        <v>3352</v>
      </c>
      <c r="J53" s="1477"/>
      <c r="K53" s="1191"/>
      <c r="O53" s="713" t="s">
        <v>3054</v>
      </c>
      <c r="Q53" s="1474"/>
      <c r="R53" s="1475"/>
      <c r="S53" s="1476"/>
    </row>
    <row r="54" spans="1:19" s="458" customFormat="1" ht="12.6" customHeight="1">
      <c r="D54" s="508"/>
      <c r="E54" s="464" t="s">
        <v>3060</v>
      </c>
      <c r="H54" s="1474"/>
      <c r="I54" s="1476"/>
      <c r="J54" s="1479"/>
      <c r="K54" s="723" t="s">
        <v>2832</v>
      </c>
      <c r="L54" s="1480"/>
      <c r="M54" s="1191"/>
      <c r="N54" s="466" t="s">
        <v>3059</v>
      </c>
      <c r="O54" s="1481"/>
      <c r="P54" s="1482"/>
      <c r="Q54" s="1482"/>
      <c r="R54" s="1482"/>
      <c r="S54" s="1483"/>
    </row>
    <row r="55" spans="1:19" ht="13.15" customHeight="1"/>
    <row r="56" spans="1:19" s="458" customFormat="1" ht="13.15" customHeight="1">
      <c r="A56" s="461" t="s">
        <v>1229</v>
      </c>
      <c r="B56" s="461" t="s">
        <v>995</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6"/>
      <c r="I57" s="1486"/>
      <c r="J57" s="1486"/>
      <c r="K57" s="714"/>
      <c r="L57" s="1486"/>
      <c r="M57" s="1486"/>
      <c r="N57" s="714"/>
      <c r="O57" s="1487"/>
      <c r="P57" s="1487"/>
      <c r="Q57" s="723"/>
      <c r="R57" s="1487"/>
      <c r="S57" s="1487"/>
    </row>
    <row r="58" spans="1:19" s="458" customFormat="1" ht="13.15" customHeight="1">
      <c r="B58" s="461" t="s">
        <v>3058</v>
      </c>
      <c r="C58" s="461" t="s">
        <v>375</v>
      </c>
      <c r="H58" s="1443" t="s">
        <v>3945</v>
      </c>
      <c r="I58" s="1190"/>
      <c r="J58" s="1190"/>
      <c r="K58" s="1190"/>
      <c r="L58" s="1190"/>
      <c r="M58" s="1190"/>
      <c r="N58" s="1191"/>
      <c r="O58" s="713" t="s">
        <v>3065</v>
      </c>
      <c r="P58" s="713"/>
      <c r="Q58" s="1443" t="s">
        <v>3947</v>
      </c>
      <c r="R58" s="1190"/>
      <c r="S58" s="1191"/>
    </row>
    <row r="59" spans="1:19" s="458" customFormat="1" ht="13.15" customHeight="1">
      <c r="D59" s="508"/>
      <c r="E59" s="464" t="s">
        <v>1641</v>
      </c>
      <c r="F59" s="472"/>
      <c r="H59" s="1443" t="s">
        <v>3922</v>
      </c>
      <c r="I59" s="1190"/>
      <c r="J59" s="1190"/>
      <c r="K59" s="1190"/>
      <c r="L59" s="1190"/>
      <c r="M59" s="1190"/>
      <c r="N59" s="1191"/>
      <c r="O59" s="713" t="s">
        <v>2775</v>
      </c>
      <c r="Q59" s="1443" t="s">
        <v>3946</v>
      </c>
      <c r="R59" s="1190"/>
      <c r="S59" s="1191"/>
    </row>
    <row r="60" spans="1:19" s="458" customFormat="1" ht="13.15" customHeight="1">
      <c r="D60" s="508"/>
      <c r="E60" s="464" t="s">
        <v>953</v>
      </c>
      <c r="H60" s="1443" t="s">
        <v>3923</v>
      </c>
      <c r="I60" s="1190"/>
      <c r="J60" s="1191"/>
      <c r="O60" s="713" t="s">
        <v>2833</v>
      </c>
      <c r="Q60" s="1474">
        <v>7049191839</v>
      </c>
      <c r="R60" s="1475"/>
      <c r="S60" s="1476"/>
    </row>
    <row r="61" spans="1:19" s="458" customFormat="1" ht="13.15" customHeight="1">
      <c r="E61" s="464" t="s">
        <v>2829</v>
      </c>
      <c r="H61" s="1440" t="s">
        <v>2053</v>
      </c>
      <c r="I61" s="493" t="s">
        <v>3352</v>
      </c>
      <c r="J61" s="1477">
        <v>452498325</v>
      </c>
      <c r="K61" s="1191"/>
      <c r="O61" s="713" t="s">
        <v>3054</v>
      </c>
      <c r="Q61" s="1474">
        <v>7049890976</v>
      </c>
      <c r="R61" s="1475"/>
      <c r="S61" s="1476"/>
    </row>
    <row r="62" spans="1:19" s="458" customFormat="1" ht="13.15" customHeight="1">
      <c r="D62" s="508"/>
      <c r="E62" s="464" t="s">
        <v>3060</v>
      </c>
      <c r="H62" s="1474">
        <v>5137748400</v>
      </c>
      <c r="I62" s="1476"/>
      <c r="J62" s="1479"/>
      <c r="K62" s="723" t="s">
        <v>2832</v>
      </c>
      <c r="L62" s="1480">
        <v>7042884406</v>
      </c>
      <c r="M62" s="1191"/>
      <c r="N62" s="466" t="s">
        <v>3059</v>
      </c>
      <c r="O62" s="1481" t="s">
        <v>3948</v>
      </c>
      <c r="P62" s="1482"/>
      <c r="Q62" s="1482"/>
      <c r="R62" s="1482"/>
      <c r="S62" s="1483"/>
    </row>
    <row r="63" spans="1:19" s="458" customFormat="1" ht="6.6" customHeight="1">
      <c r="D63" s="508"/>
      <c r="E63" s="721"/>
      <c r="F63" s="721"/>
      <c r="G63" s="713"/>
      <c r="H63" s="1488"/>
      <c r="I63" s="1488"/>
      <c r="J63" s="1488"/>
      <c r="K63" s="723"/>
      <c r="L63" s="1488"/>
      <c r="M63" s="1488"/>
      <c r="N63" s="714"/>
      <c r="O63" s="1487"/>
      <c r="P63" s="1487"/>
      <c r="Q63" s="723"/>
      <c r="R63" s="1487"/>
      <c r="S63" s="1487"/>
    </row>
    <row r="64" spans="1:19" s="458" customFormat="1" ht="13.15" customHeight="1">
      <c r="B64" s="461" t="s">
        <v>3061</v>
      </c>
      <c r="C64" s="461" t="s">
        <v>376</v>
      </c>
      <c r="H64" s="1443"/>
      <c r="I64" s="1190"/>
      <c r="J64" s="1190"/>
      <c r="K64" s="1190"/>
      <c r="L64" s="1190"/>
      <c r="M64" s="1190"/>
      <c r="N64" s="1191"/>
      <c r="O64" s="713" t="s">
        <v>3065</v>
      </c>
      <c r="P64" s="713"/>
      <c r="Q64" s="1443"/>
      <c r="R64" s="1190"/>
      <c r="S64" s="1191"/>
    </row>
    <row r="65" spans="2:19" s="458" customFormat="1" ht="13.15" customHeight="1">
      <c r="D65" s="508"/>
      <c r="E65" s="464" t="s">
        <v>1641</v>
      </c>
      <c r="F65" s="472"/>
      <c r="H65" s="1443"/>
      <c r="I65" s="1190"/>
      <c r="J65" s="1190"/>
      <c r="K65" s="1190"/>
      <c r="L65" s="1190"/>
      <c r="M65" s="1190"/>
      <c r="N65" s="1191"/>
      <c r="O65" s="713" t="s">
        <v>2775</v>
      </c>
      <c r="Q65" s="1443"/>
      <c r="R65" s="1190"/>
      <c r="S65" s="1191"/>
    </row>
    <row r="66" spans="2:19" s="458" customFormat="1" ht="13.15" customHeight="1">
      <c r="D66" s="508"/>
      <c r="E66" s="464" t="s">
        <v>953</v>
      </c>
      <c r="H66" s="1443"/>
      <c r="I66" s="1190"/>
      <c r="J66" s="1191"/>
      <c r="O66" s="713" t="s">
        <v>2833</v>
      </c>
      <c r="Q66" s="1474"/>
      <c r="R66" s="1475"/>
      <c r="S66" s="1476"/>
    </row>
    <row r="67" spans="2:19" s="458" customFormat="1" ht="13.15" customHeight="1">
      <c r="E67" s="464" t="s">
        <v>2829</v>
      </c>
      <c r="H67" s="1440"/>
      <c r="I67" s="493" t="s">
        <v>3352</v>
      </c>
      <c r="J67" s="1477"/>
      <c r="K67" s="1191"/>
      <c r="O67" s="713" t="s">
        <v>3054</v>
      </c>
      <c r="Q67" s="1474"/>
      <c r="R67" s="1475"/>
      <c r="S67" s="1476"/>
    </row>
    <row r="68" spans="2:19" s="458" customFormat="1" ht="13.15" customHeight="1">
      <c r="D68" s="508"/>
      <c r="E68" s="464" t="s">
        <v>3060</v>
      </c>
      <c r="H68" s="1474"/>
      <c r="I68" s="1476"/>
      <c r="J68" s="1479"/>
      <c r="K68" s="723" t="s">
        <v>2832</v>
      </c>
      <c r="L68" s="1480"/>
      <c r="M68" s="1191"/>
      <c r="N68" s="466" t="s">
        <v>3059</v>
      </c>
      <c r="O68" s="1481"/>
      <c r="P68" s="1482"/>
      <c r="Q68" s="1482"/>
      <c r="R68" s="1482"/>
      <c r="S68" s="1483"/>
    </row>
    <row r="69" spans="2:19" s="458" customFormat="1" ht="6.6" customHeight="1">
      <c r="D69" s="508"/>
      <c r="E69" s="721"/>
      <c r="F69" s="721"/>
      <c r="G69" s="713"/>
      <c r="H69" s="1488"/>
      <c r="I69" s="1488"/>
      <c r="J69" s="1488"/>
      <c r="K69" s="723"/>
      <c r="L69" s="1488"/>
      <c r="M69" s="1488"/>
      <c r="N69" s="714"/>
      <c r="O69" s="1487"/>
      <c r="P69" s="1487"/>
      <c r="Q69" s="723"/>
      <c r="R69" s="1487"/>
      <c r="S69" s="1487"/>
    </row>
    <row r="70" spans="2:19" s="458" customFormat="1" ht="13.15" customHeight="1">
      <c r="B70" s="461" t="s">
        <v>1238</v>
      </c>
      <c r="C70" s="461" t="s">
        <v>2279</v>
      </c>
      <c r="H70" s="1443"/>
      <c r="I70" s="1190"/>
      <c r="J70" s="1190"/>
      <c r="K70" s="1190"/>
      <c r="L70" s="1190"/>
      <c r="M70" s="1190"/>
      <c r="N70" s="1191"/>
      <c r="O70" s="713" t="s">
        <v>3065</v>
      </c>
      <c r="P70" s="713"/>
      <c r="Q70" s="1443"/>
      <c r="R70" s="1190"/>
      <c r="S70" s="1191"/>
    </row>
    <row r="71" spans="2:19" s="458" customFormat="1" ht="13.15" customHeight="1">
      <c r="D71" s="508"/>
      <c r="E71" s="464" t="s">
        <v>1641</v>
      </c>
      <c r="F71" s="472"/>
      <c r="H71" s="1443"/>
      <c r="I71" s="1190"/>
      <c r="J71" s="1190"/>
      <c r="K71" s="1190"/>
      <c r="L71" s="1190"/>
      <c r="M71" s="1190"/>
      <c r="N71" s="1191"/>
      <c r="O71" s="713" t="s">
        <v>2775</v>
      </c>
      <c r="Q71" s="1443"/>
      <c r="R71" s="1190"/>
      <c r="S71" s="1191"/>
    </row>
    <row r="72" spans="2:19" s="458" customFormat="1" ht="13.15" customHeight="1">
      <c r="D72" s="508"/>
      <c r="E72" s="464" t="s">
        <v>953</v>
      </c>
      <c r="H72" s="1443"/>
      <c r="I72" s="1190"/>
      <c r="J72" s="1191"/>
      <c r="O72" s="713" t="s">
        <v>2833</v>
      </c>
      <c r="Q72" s="1474"/>
      <c r="R72" s="1475"/>
      <c r="S72" s="1476"/>
    </row>
    <row r="73" spans="2:19" s="458" customFormat="1" ht="13.15" customHeight="1">
      <c r="E73" s="464" t="s">
        <v>2829</v>
      </c>
      <c r="H73" s="1440"/>
      <c r="I73" s="493" t="s">
        <v>3352</v>
      </c>
      <c r="J73" s="1477"/>
      <c r="K73" s="1191"/>
      <c r="O73" s="713" t="s">
        <v>3054</v>
      </c>
      <c r="Q73" s="1474"/>
      <c r="R73" s="1475"/>
      <c r="S73" s="1476"/>
    </row>
    <row r="74" spans="2:19" s="458" customFormat="1" ht="13.15" customHeight="1">
      <c r="D74" s="508"/>
      <c r="E74" s="464" t="s">
        <v>3060</v>
      </c>
      <c r="H74" s="1474"/>
      <c r="I74" s="1476"/>
      <c r="J74" s="1479"/>
      <c r="K74" s="723" t="s">
        <v>2832</v>
      </c>
      <c r="L74" s="1480"/>
      <c r="M74" s="1191"/>
      <c r="N74" s="466" t="s">
        <v>3059</v>
      </c>
      <c r="O74" s="1481"/>
      <c r="P74" s="1482"/>
      <c r="Q74" s="1482"/>
      <c r="R74" s="1482"/>
      <c r="S74" s="1483"/>
    </row>
    <row r="75" spans="2:19" ht="6.6" customHeight="1">
      <c r="H75" s="1488"/>
      <c r="I75" s="1488"/>
      <c r="J75" s="1488"/>
      <c r="K75" s="723"/>
      <c r="L75" s="1488"/>
      <c r="M75" s="1488"/>
      <c r="N75" s="714"/>
      <c r="O75" s="1487"/>
      <c r="P75" s="1487"/>
      <c r="Q75" s="723"/>
      <c r="R75" s="1487"/>
      <c r="S75" s="1487"/>
    </row>
    <row r="76" spans="2:19" s="458" customFormat="1" ht="13.15" customHeight="1">
      <c r="B76" s="461" t="s">
        <v>3210</v>
      </c>
      <c r="C76" s="461" t="s">
        <v>377</v>
      </c>
      <c r="H76" s="1443"/>
      <c r="I76" s="1190"/>
      <c r="J76" s="1190"/>
      <c r="K76" s="1190"/>
      <c r="L76" s="1190"/>
      <c r="M76" s="1190"/>
      <c r="N76" s="1191"/>
      <c r="O76" s="713" t="s">
        <v>3065</v>
      </c>
      <c r="P76" s="713"/>
      <c r="Q76" s="1443"/>
      <c r="R76" s="1190"/>
      <c r="S76" s="1191"/>
    </row>
    <row r="77" spans="2:19" s="458" customFormat="1" ht="13.15" customHeight="1">
      <c r="D77" s="508"/>
      <c r="E77" s="464" t="s">
        <v>1641</v>
      </c>
      <c r="F77" s="472"/>
      <c r="H77" s="1443"/>
      <c r="I77" s="1190"/>
      <c r="J77" s="1190"/>
      <c r="K77" s="1190"/>
      <c r="L77" s="1190"/>
      <c r="M77" s="1190"/>
      <c r="N77" s="1191"/>
      <c r="O77" s="713" t="s">
        <v>2775</v>
      </c>
      <c r="Q77" s="1443"/>
      <c r="R77" s="1190"/>
      <c r="S77" s="1191"/>
    </row>
    <row r="78" spans="2:19" s="458" customFormat="1" ht="13.15" customHeight="1">
      <c r="D78" s="508"/>
      <c r="E78" s="464" t="s">
        <v>953</v>
      </c>
      <c r="H78" s="1443"/>
      <c r="I78" s="1190"/>
      <c r="J78" s="1191"/>
      <c r="O78" s="713" t="s">
        <v>2833</v>
      </c>
      <c r="Q78" s="1474"/>
      <c r="R78" s="1475"/>
      <c r="S78" s="1476"/>
    </row>
    <row r="79" spans="2:19" s="458" customFormat="1" ht="13.15" customHeight="1">
      <c r="E79" s="464" t="s">
        <v>2829</v>
      </c>
      <c r="H79" s="1440"/>
      <c r="I79" s="493" t="s">
        <v>3352</v>
      </c>
      <c r="J79" s="1477"/>
      <c r="K79" s="1191"/>
      <c r="O79" s="713" t="s">
        <v>3054</v>
      </c>
      <c r="Q79" s="1474"/>
      <c r="R79" s="1475"/>
      <c r="S79" s="1476"/>
    </row>
    <row r="80" spans="2:19" s="458" customFormat="1" ht="13.15" customHeight="1">
      <c r="D80" s="508"/>
      <c r="E80" s="464" t="s">
        <v>3060</v>
      </c>
      <c r="H80" s="1474"/>
      <c r="I80" s="1476"/>
      <c r="J80" s="1479"/>
      <c r="K80" s="723" t="s">
        <v>2832</v>
      </c>
      <c r="L80" s="1480"/>
      <c r="M80" s="1191"/>
      <c r="N80" s="466" t="s">
        <v>3059</v>
      </c>
      <c r="O80" s="1481"/>
      <c r="P80" s="1482"/>
      <c r="Q80" s="1482"/>
      <c r="R80" s="1482"/>
      <c r="S80" s="1483"/>
    </row>
    <row r="81" spans="1:19" ht="13.15" customHeight="1"/>
    <row r="82" spans="1:19" s="464" customFormat="1" ht="13.15" customHeight="1">
      <c r="A82" s="465" t="s">
        <v>1231</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1486"/>
      <c r="I83" s="1486"/>
      <c r="J83" s="1486"/>
      <c r="K83" s="714"/>
      <c r="L83" s="1486"/>
      <c r="M83" s="1486"/>
      <c r="N83" s="714"/>
      <c r="O83" s="1487"/>
      <c r="P83" s="1487"/>
      <c r="Q83" s="723"/>
      <c r="R83" s="1487"/>
      <c r="S83" s="1487"/>
    </row>
    <row r="84" spans="1:19" s="458" customFormat="1" ht="13.15" customHeight="1">
      <c r="B84" s="461" t="s">
        <v>3058</v>
      </c>
      <c r="C84" s="461" t="s">
        <v>379</v>
      </c>
      <c r="H84" s="1443"/>
      <c r="I84" s="1190"/>
      <c r="J84" s="1190"/>
      <c r="K84" s="1190"/>
      <c r="L84" s="1190"/>
      <c r="M84" s="1190"/>
      <c r="N84" s="1191"/>
      <c r="O84" s="713" t="s">
        <v>3065</v>
      </c>
      <c r="P84" s="713"/>
      <c r="Q84" s="1443"/>
      <c r="R84" s="1190"/>
      <c r="S84" s="1191"/>
    </row>
    <row r="85" spans="1:19" s="458" customFormat="1" ht="13.15" customHeight="1">
      <c r="D85" s="508"/>
      <c r="E85" s="464" t="s">
        <v>1641</v>
      </c>
      <c r="F85" s="472"/>
      <c r="H85" s="1443"/>
      <c r="I85" s="1190"/>
      <c r="J85" s="1190"/>
      <c r="K85" s="1190"/>
      <c r="L85" s="1190"/>
      <c r="M85" s="1190"/>
      <c r="N85" s="1191"/>
      <c r="O85" s="713" t="s">
        <v>2775</v>
      </c>
      <c r="Q85" s="1443"/>
      <c r="R85" s="1190"/>
      <c r="S85" s="1191"/>
    </row>
    <row r="86" spans="1:19" s="458" customFormat="1" ht="13.15" customHeight="1">
      <c r="D86" s="508"/>
      <c r="E86" s="464" t="s">
        <v>953</v>
      </c>
      <c r="H86" s="1443"/>
      <c r="I86" s="1190"/>
      <c r="J86" s="1191"/>
      <c r="O86" s="713" t="s">
        <v>2833</v>
      </c>
      <c r="Q86" s="1474"/>
      <c r="R86" s="1475"/>
      <c r="S86" s="1476"/>
    </row>
    <row r="87" spans="1:19" s="458" customFormat="1" ht="13.15" customHeight="1">
      <c r="E87" s="464" t="s">
        <v>2829</v>
      </c>
      <c r="H87" s="1440"/>
      <c r="I87" s="493" t="s">
        <v>3352</v>
      </c>
      <c r="J87" s="1477"/>
      <c r="K87" s="1191"/>
      <c r="O87" s="713" t="s">
        <v>3054</v>
      </c>
      <c r="Q87" s="1474"/>
      <c r="R87" s="1475"/>
      <c r="S87" s="1476"/>
    </row>
    <row r="88" spans="1:19" s="458" customFormat="1" ht="13.15" customHeight="1">
      <c r="D88" s="508"/>
      <c r="E88" s="464" t="s">
        <v>3060</v>
      </c>
      <c r="H88" s="1474"/>
      <c r="I88" s="1476"/>
      <c r="J88" s="1479"/>
      <c r="K88" s="723" t="s">
        <v>2832</v>
      </c>
      <c r="L88" s="1480"/>
      <c r="M88" s="1191"/>
      <c r="N88" s="466" t="s">
        <v>3059</v>
      </c>
      <c r="O88" s="1481"/>
      <c r="P88" s="1482"/>
      <c r="Q88" s="1482"/>
      <c r="R88" s="1482"/>
      <c r="S88" s="1483"/>
    </row>
    <row r="89" spans="1:19" ht="6.6" customHeight="1">
      <c r="H89" s="1488"/>
      <c r="I89" s="1488"/>
      <c r="J89" s="1488"/>
      <c r="K89" s="723"/>
      <c r="L89" s="1488"/>
      <c r="M89" s="1488"/>
      <c r="N89" s="714"/>
      <c r="O89" s="1487"/>
      <c r="P89" s="1487"/>
      <c r="Q89" s="723"/>
      <c r="R89" s="1487"/>
      <c r="S89" s="1487"/>
    </row>
    <row r="90" spans="1:19" s="458" customFormat="1" ht="13.15" customHeight="1">
      <c r="B90" s="461" t="s">
        <v>3061</v>
      </c>
      <c r="C90" s="461" t="s">
        <v>380</v>
      </c>
      <c r="H90" s="1443" t="s">
        <v>3945</v>
      </c>
      <c r="I90" s="1190"/>
      <c r="J90" s="1190"/>
      <c r="K90" s="1190"/>
      <c r="L90" s="1190"/>
      <c r="M90" s="1190"/>
      <c r="N90" s="1191"/>
      <c r="O90" s="713" t="s">
        <v>3065</v>
      </c>
      <c r="P90" s="713"/>
      <c r="Q90" s="1443" t="s">
        <v>3949</v>
      </c>
      <c r="R90" s="1190"/>
      <c r="S90" s="1191"/>
    </row>
    <row r="91" spans="1:19" s="458" customFormat="1" ht="13.15" customHeight="1">
      <c r="D91" s="508"/>
      <c r="E91" s="464" t="s">
        <v>1641</v>
      </c>
      <c r="F91" s="472"/>
      <c r="H91" s="1443" t="s">
        <v>3922</v>
      </c>
      <c r="I91" s="1190"/>
      <c r="J91" s="1190"/>
      <c r="K91" s="1190"/>
      <c r="L91" s="1190"/>
      <c r="M91" s="1190"/>
      <c r="N91" s="1191"/>
      <c r="O91" s="713" t="s">
        <v>2775</v>
      </c>
      <c r="Q91" s="1443" t="s">
        <v>3950</v>
      </c>
      <c r="R91" s="1190"/>
      <c r="S91" s="1191"/>
    </row>
    <row r="92" spans="1:19" s="458" customFormat="1" ht="13.15" customHeight="1">
      <c r="D92" s="508"/>
      <c r="E92" s="464" t="s">
        <v>953</v>
      </c>
      <c r="H92" s="1443" t="s">
        <v>3923</v>
      </c>
      <c r="I92" s="1190"/>
      <c r="J92" s="1191"/>
      <c r="O92" s="713" t="s">
        <v>2833</v>
      </c>
      <c r="Q92" s="1474">
        <v>5135881605</v>
      </c>
      <c r="R92" s="1475"/>
      <c r="S92" s="1476"/>
    </row>
    <row r="93" spans="1:19" s="458" customFormat="1" ht="13.15" customHeight="1">
      <c r="E93" s="464" t="s">
        <v>2829</v>
      </c>
      <c r="H93" s="1440" t="s">
        <v>2053</v>
      </c>
      <c r="I93" s="493" t="s">
        <v>3352</v>
      </c>
      <c r="J93" s="1477">
        <v>452498325</v>
      </c>
      <c r="K93" s="1191"/>
      <c r="O93" s="713" t="s">
        <v>3054</v>
      </c>
      <c r="Q93" s="1474">
        <v>5135433936</v>
      </c>
      <c r="R93" s="1475"/>
      <c r="S93" s="1476"/>
    </row>
    <row r="94" spans="1:19" s="458" customFormat="1" ht="13.15" customHeight="1">
      <c r="D94" s="508"/>
      <c r="E94" s="464" t="s">
        <v>3060</v>
      </c>
      <c r="H94" s="1474">
        <v>5137748400</v>
      </c>
      <c r="I94" s="1476"/>
      <c r="J94" s="1479"/>
      <c r="K94" s="723" t="s">
        <v>2832</v>
      </c>
      <c r="L94" s="1480">
        <v>9379130370</v>
      </c>
      <c r="M94" s="1191"/>
      <c r="N94" s="466" t="s">
        <v>3059</v>
      </c>
      <c r="O94" s="1481" t="s">
        <v>3951</v>
      </c>
      <c r="P94" s="1482"/>
      <c r="Q94" s="1482"/>
      <c r="R94" s="1482"/>
      <c r="S94" s="1483"/>
    </row>
    <row r="95" spans="1:19" ht="6.6" customHeight="1">
      <c r="H95" s="1488"/>
      <c r="I95" s="1488"/>
      <c r="J95" s="1488"/>
      <c r="K95" s="723"/>
      <c r="L95" s="1488"/>
      <c r="M95" s="1488"/>
      <c r="N95" s="714"/>
      <c r="O95" s="1487"/>
      <c r="P95" s="1487"/>
      <c r="Q95" s="723"/>
      <c r="R95" s="1487"/>
      <c r="S95" s="1487"/>
    </row>
    <row r="96" spans="1:19" s="458" customFormat="1" ht="13.15" customHeight="1">
      <c r="B96" s="461" t="s">
        <v>1238</v>
      </c>
      <c r="C96" s="461" t="s">
        <v>381</v>
      </c>
      <c r="F96" s="482"/>
      <c r="H96" s="1443" t="s">
        <v>3952</v>
      </c>
      <c r="I96" s="1190"/>
      <c r="J96" s="1190"/>
      <c r="K96" s="1190"/>
      <c r="L96" s="1190"/>
      <c r="M96" s="1190"/>
      <c r="N96" s="1191"/>
      <c r="O96" s="713" t="s">
        <v>3065</v>
      </c>
      <c r="P96" s="713"/>
      <c r="Q96" s="1443" t="s">
        <v>3953</v>
      </c>
      <c r="R96" s="1190"/>
      <c r="S96" s="1191"/>
    </row>
    <row r="97" spans="2:19" s="458" customFormat="1" ht="13.15" customHeight="1">
      <c r="D97" s="508"/>
      <c r="E97" s="464" t="s">
        <v>1641</v>
      </c>
      <c r="F97" s="472"/>
      <c r="H97" s="1443" t="s">
        <v>3922</v>
      </c>
      <c r="I97" s="1190"/>
      <c r="J97" s="1190"/>
      <c r="K97" s="1190"/>
      <c r="L97" s="1190"/>
      <c r="M97" s="1190"/>
      <c r="N97" s="1191"/>
      <c r="O97" s="713" t="s">
        <v>2775</v>
      </c>
      <c r="Q97" s="1443" t="s">
        <v>3950</v>
      </c>
      <c r="R97" s="1190"/>
      <c r="S97" s="1191"/>
    </row>
    <row r="98" spans="2:19" s="458" customFormat="1" ht="13.15" customHeight="1">
      <c r="D98" s="508"/>
      <c r="E98" s="464" t="s">
        <v>953</v>
      </c>
      <c r="H98" s="1443" t="s">
        <v>3923</v>
      </c>
      <c r="I98" s="1190"/>
      <c r="J98" s="1191"/>
      <c r="O98" s="713" t="s">
        <v>2833</v>
      </c>
      <c r="Q98" s="1474">
        <v>5135834764</v>
      </c>
      <c r="R98" s="1475"/>
      <c r="S98" s="1476"/>
    </row>
    <row r="99" spans="2:19" s="458" customFormat="1" ht="13.15" customHeight="1">
      <c r="D99" s="508"/>
      <c r="E99" s="464" t="s">
        <v>2829</v>
      </c>
      <c r="H99" s="1440" t="s">
        <v>2053</v>
      </c>
      <c r="I99" s="493" t="s">
        <v>3352</v>
      </c>
      <c r="J99" s="1477">
        <v>452498325</v>
      </c>
      <c r="K99" s="1191"/>
      <c r="O99" s="713" t="s">
        <v>3054</v>
      </c>
      <c r="Q99" s="1474">
        <v>5135197820</v>
      </c>
      <c r="R99" s="1475"/>
      <c r="S99" s="1476"/>
    </row>
    <row r="100" spans="2:19" s="458" customFormat="1" ht="13.15" customHeight="1">
      <c r="D100" s="508"/>
      <c r="E100" s="464" t="s">
        <v>3060</v>
      </c>
      <c r="H100" s="1474">
        <v>5137748400</v>
      </c>
      <c r="I100" s="1476"/>
      <c r="J100" s="1479"/>
      <c r="K100" s="723" t="s">
        <v>2832</v>
      </c>
      <c r="L100" s="1480">
        <v>5137296846</v>
      </c>
      <c r="M100" s="1191"/>
      <c r="N100" s="466" t="s">
        <v>3059</v>
      </c>
      <c r="O100" s="1481" t="s">
        <v>3954</v>
      </c>
      <c r="P100" s="1482"/>
      <c r="Q100" s="1482"/>
      <c r="R100" s="1482"/>
      <c r="S100" s="1483"/>
    </row>
    <row r="101" spans="2:19" ht="6.6" customHeight="1">
      <c r="H101" s="1488"/>
      <c r="I101" s="1488"/>
      <c r="J101" s="1488"/>
      <c r="K101" s="723"/>
      <c r="L101" s="1488"/>
      <c r="M101" s="1488"/>
      <c r="N101" s="714"/>
      <c r="O101" s="1487"/>
      <c r="P101" s="1487"/>
      <c r="Q101" s="723"/>
      <c r="R101" s="1487"/>
      <c r="S101" s="1487"/>
    </row>
    <row r="102" spans="2:19" s="458" customFormat="1" ht="13.15" customHeight="1">
      <c r="B102" s="461" t="s">
        <v>3210</v>
      </c>
      <c r="C102" s="461" t="s">
        <v>382</v>
      </c>
      <c r="H102" s="1443" t="s">
        <v>3955</v>
      </c>
      <c r="I102" s="1190"/>
      <c r="J102" s="1190"/>
      <c r="K102" s="1190"/>
      <c r="L102" s="1190"/>
      <c r="M102" s="1190"/>
      <c r="N102" s="1191"/>
      <c r="O102" s="713" t="s">
        <v>3065</v>
      </c>
      <c r="P102" s="713"/>
      <c r="Q102" s="1443" t="s">
        <v>3956</v>
      </c>
      <c r="R102" s="1190"/>
      <c r="S102" s="1191"/>
    </row>
    <row r="103" spans="2:19" s="458" customFormat="1" ht="13.15" customHeight="1">
      <c r="D103" s="508"/>
      <c r="E103" s="464" t="s">
        <v>1641</v>
      </c>
      <c r="F103" s="472"/>
      <c r="H103" s="1443" t="s">
        <v>3957</v>
      </c>
      <c r="I103" s="1190"/>
      <c r="J103" s="1190"/>
      <c r="K103" s="1190"/>
      <c r="L103" s="1190"/>
      <c r="M103" s="1190"/>
      <c r="N103" s="1191"/>
      <c r="O103" s="713" t="s">
        <v>2775</v>
      </c>
      <c r="Q103" s="1443" t="s">
        <v>3958</v>
      </c>
      <c r="R103" s="1190"/>
      <c r="S103" s="1191"/>
    </row>
    <row r="104" spans="2:19" s="458" customFormat="1" ht="13.15" customHeight="1">
      <c r="D104" s="508"/>
      <c r="E104" s="464" t="s">
        <v>953</v>
      </c>
      <c r="H104" s="1443" t="s">
        <v>1866</v>
      </c>
      <c r="I104" s="1190"/>
      <c r="J104" s="1191"/>
      <c r="O104" s="713" t="s">
        <v>2833</v>
      </c>
      <c r="Q104" s="1474">
        <v>4048737014</v>
      </c>
      <c r="R104" s="1475"/>
      <c r="S104" s="1476"/>
    </row>
    <row r="105" spans="2:19" s="458" customFormat="1" ht="13.15" customHeight="1">
      <c r="D105" s="508"/>
      <c r="E105" s="464" t="s">
        <v>2829</v>
      </c>
      <c r="H105" s="1440" t="s">
        <v>1438</v>
      </c>
      <c r="I105" s="493" t="s">
        <v>3352</v>
      </c>
      <c r="J105" s="1477">
        <v>303631031</v>
      </c>
      <c r="K105" s="1191"/>
      <c r="O105" s="713" t="s">
        <v>3054</v>
      </c>
      <c r="Q105" s="1474"/>
      <c r="R105" s="1475"/>
      <c r="S105" s="1476"/>
    </row>
    <row r="106" spans="2:19" ht="13.15" customHeight="1">
      <c r="E106" s="464" t="s">
        <v>3060</v>
      </c>
      <c r="F106" s="458"/>
      <c r="G106" s="458"/>
      <c r="H106" s="1474">
        <v>4048737014</v>
      </c>
      <c r="I106" s="1476"/>
      <c r="J106" s="1479"/>
      <c r="K106" s="723" t="s">
        <v>2832</v>
      </c>
      <c r="L106" s="1480">
        <v>4048737015</v>
      </c>
      <c r="M106" s="1191"/>
      <c r="N106" s="466" t="s">
        <v>3059</v>
      </c>
      <c r="O106" s="1481" t="s">
        <v>3959</v>
      </c>
      <c r="P106" s="1482"/>
      <c r="Q106" s="1482"/>
      <c r="R106" s="1482"/>
      <c r="S106" s="1483"/>
    </row>
    <row r="107" spans="2:19" ht="6" customHeight="1">
      <c r="E107" s="464"/>
      <c r="F107" s="458"/>
      <c r="G107" s="458"/>
      <c r="H107" s="458"/>
      <c r="I107" s="458"/>
      <c r="J107" s="458"/>
      <c r="K107" s="458"/>
      <c r="L107" s="458"/>
      <c r="M107" s="458"/>
      <c r="N107" s="458"/>
      <c r="O107" s="458"/>
      <c r="P107" s="458"/>
      <c r="Q107" s="723"/>
      <c r="R107" s="723"/>
      <c r="S107" s="1490"/>
    </row>
    <row r="108" spans="2:19" ht="0.6" customHeight="1">
      <c r="E108" s="464"/>
      <c r="F108" s="458"/>
      <c r="G108" s="721"/>
      <c r="H108" s="1486"/>
      <c r="I108" s="1486"/>
      <c r="J108" s="1486"/>
      <c r="K108" s="714"/>
      <c r="L108" s="1486"/>
      <c r="M108" s="1486"/>
      <c r="N108" s="714"/>
      <c r="O108" s="1487"/>
      <c r="P108" s="1487"/>
      <c r="Q108" s="723"/>
      <c r="R108" s="1487"/>
      <c r="S108" s="1487"/>
    </row>
    <row r="109" spans="2:19" s="458" customFormat="1" ht="13.15" customHeight="1">
      <c r="B109" s="461" t="s">
        <v>2762</v>
      </c>
      <c r="C109" s="461" t="s">
        <v>383</v>
      </c>
      <c r="H109" s="1443" t="s">
        <v>3960</v>
      </c>
      <c r="I109" s="1190"/>
      <c r="J109" s="1190"/>
      <c r="K109" s="1190"/>
      <c r="L109" s="1190"/>
      <c r="M109" s="1190"/>
      <c r="N109" s="1191"/>
      <c r="O109" s="713" t="s">
        <v>3065</v>
      </c>
      <c r="P109" s="713"/>
      <c r="Q109" s="1443" t="s">
        <v>3961</v>
      </c>
      <c r="R109" s="1190"/>
      <c r="S109" s="1191"/>
    </row>
    <row r="110" spans="2:19" s="458" customFormat="1" ht="13.15" customHeight="1">
      <c r="D110" s="508"/>
      <c r="E110" s="464" t="s">
        <v>1641</v>
      </c>
      <c r="F110" s="472"/>
      <c r="H110" s="1443" t="s">
        <v>3962</v>
      </c>
      <c r="I110" s="1190"/>
      <c r="J110" s="1190"/>
      <c r="K110" s="1190"/>
      <c r="L110" s="1190"/>
      <c r="M110" s="1190"/>
      <c r="N110" s="1191"/>
      <c r="O110" s="713" t="s">
        <v>2775</v>
      </c>
      <c r="Q110" s="1443" t="s">
        <v>3958</v>
      </c>
      <c r="R110" s="1190"/>
      <c r="S110" s="1191"/>
    </row>
    <row r="111" spans="2:19" s="458" customFormat="1" ht="13.15" customHeight="1">
      <c r="D111" s="508"/>
      <c r="E111" s="464" t="s">
        <v>953</v>
      </c>
      <c r="H111" s="1443" t="s">
        <v>3963</v>
      </c>
      <c r="I111" s="1190"/>
      <c r="J111" s="1191"/>
      <c r="O111" s="713" t="s">
        <v>2833</v>
      </c>
      <c r="Q111" s="1474">
        <v>9372993400</v>
      </c>
      <c r="R111" s="1475"/>
      <c r="S111" s="1476"/>
    </row>
    <row r="112" spans="2:19" s="458" customFormat="1" ht="13.15" customHeight="1">
      <c r="D112" s="508"/>
      <c r="E112" s="464" t="s">
        <v>2829</v>
      </c>
      <c r="H112" s="1440" t="s">
        <v>2053</v>
      </c>
      <c r="I112" s="493">
        <v>454392304</v>
      </c>
      <c r="J112" s="1477"/>
      <c r="K112" s="1191"/>
      <c r="O112" s="713" t="s">
        <v>3054</v>
      </c>
      <c r="Q112" s="1474"/>
      <c r="R112" s="1475"/>
      <c r="S112" s="1476"/>
    </row>
    <row r="113" spans="1:19" ht="13.15" customHeight="1">
      <c r="E113" s="464" t="s">
        <v>3060</v>
      </c>
      <c r="F113" s="458"/>
      <c r="G113" s="458"/>
      <c r="H113" s="1474">
        <v>9372993400</v>
      </c>
      <c r="I113" s="1476"/>
      <c r="J113" s="1479"/>
      <c r="K113" s="723" t="s">
        <v>2832</v>
      </c>
      <c r="L113" s="1480">
        <v>9372935481</v>
      </c>
      <c r="M113" s="1191"/>
      <c r="N113" s="466" t="s">
        <v>3059</v>
      </c>
      <c r="O113" s="1481" t="s">
        <v>3964</v>
      </c>
      <c r="P113" s="1482"/>
      <c r="Q113" s="1482"/>
      <c r="R113" s="1482"/>
      <c r="S113" s="1483"/>
    </row>
    <row r="114" spans="1:19" ht="6.6" customHeight="1">
      <c r="E114" s="464"/>
      <c r="F114" s="458"/>
      <c r="G114" s="721"/>
      <c r="H114" s="1488"/>
      <c r="I114" s="1488"/>
      <c r="J114" s="1488"/>
      <c r="K114" s="723"/>
      <c r="L114" s="1488"/>
      <c r="M114" s="1488"/>
      <c r="N114" s="714"/>
      <c r="O114" s="1487"/>
      <c r="P114" s="1487"/>
      <c r="Q114" s="723"/>
      <c r="R114" s="1487"/>
      <c r="S114" s="1487"/>
    </row>
    <row r="115" spans="1:19" s="458" customFormat="1" ht="13.15" customHeight="1">
      <c r="B115" s="461" t="s">
        <v>2763</v>
      </c>
      <c r="C115" s="461" t="s">
        <v>384</v>
      </c>
      <c r="H115" s="1443" t="s">
        <v>3965</v>
      </c>
      <c r="I115" s="1190"/>
      <c r="J115" s="1190"/>
      <c r="K115" s="1190"/>
      <c r="L115" s="1190"/>
      <c r="M115" s="1190"/>
      <c r="N115" s="1191"/>
      <c r="O115" s="713" t="s">
        <v>3065</v>
      </c>
      <c r="P115" s="713"/>
      <c r="Q115" s="1443" t="s">
        <v>3966</v>
      </c>
      <c r="R115" s="1190"/>
      <c r="S115" s="1191"/>
    </row>
    <row r="116" spans="1:19" s="458" customFormat="1" ht="13.15" customHeight="1">
      <c r="D116" s="508"/>
      <c r="E116" s="464" t="s">
        <v>1641</v>
      </c>
      <c r="F116" s="472"/>
      <c r="H116" s="1443" t="s">
        <v>3967</v>
      </c>
      <c r="I116" s="1190"/>
      <c r="J116" s="1190"/>
      <c r="K116" s="1190"/>
      <c r="L116" s="1190"/>
      <c r="M116" s="1190"/>
      <c r="N116" s="1191"/>
      <c r="O116" s="713" t="s">
        <v>2775</v>
      </c>
      <c r="Q116" s="1443" t="s">
        <v>3958</v>
      </c>
      <c r="R116" s="1190"/>
      <c r="S116" s="1191"/>
    </row>
    <row r="117" spans="1:19" s="458" customFormat="1" ht="13.15" customHeight="1">
      <c r="D117" s="508"/>
      <c r="E117" s="464" t="s">
        <v>953</v>
      </c>
      <c r="H117" s="1443" t="s">
        <v>1599</v>
      </c>
      <c r="I117" s="1190"/>
      <c r="J117" s="1191"/>
      <c r="O117" s="713" t="s">
        <v>2833</v>
      </c>
      <c r="Q117" s="1474"/>
      <c r="R117" s="1475"/>
      <c r="S117" s="1476"/>
    </row>
    <row r="118" spans="1:19" s="458" customFormat="1" ht="13.15" customHeight="1">
      <c r="D118" s="513"/>
      <c r="E118" s="464" t="s">
        <v>2829</v>
      </c>
      <c r="H118" s="1440" t="s">
        <v>2058</v>
      </c>
      <c r="I118" s="493" t="s">
        <v>3352</v>
      </c>
      <c r="J118" s="1477">
        <v>296013150</v>
      </c>
      <c r="K118" s="1191"/>
      <c r="O118" s="713" t="s">
        <v>3054</v>
      </c>
      <c r="Q118" s="1474"/>
      <c r="R118" s="1475"/>
      <c r="S118" s="1476"/>
    </row>
    <row r="119" spans="1:19" s="458" customFormat="1" ht="13.15" customHeight="1">
      <c r="D119" s="513"/>
      <c r="E119" s="464" t="s">
        <v>3060</v>
      </c>
      <c r="H119" s="1474">
        <v>8642420177</v>
      </c>
      <c r="I119" s="1476"/>
      <c r="J119" s="1479">
        <v>231</v>
      </c>
      <c r="K119" s="723" t="s">
        <v>2832</v>
      </c>
      <c r="L119" s="1480">
        <v>8642351901</v>
      </c>
      <c r="M119" s="1191"/>
      <c r="N119" s="466" t="s">
        <v>3059</v>
      </c>
      <c r="O119" s="1481" t="s">
        <v>3968</v>
      </c>
      <c r="P119" s="1482"/>
      <c r="Q119" s="1482"/>
      <c r="R119" s="1482"/>
      <c r="S119" s="1483"/>
    </row>
    <row r="120" spans="1:19" ht="13.15" customHeight="1"/>
    <row r="121" spans="1:19" s="458" customFormat="1" ht="13.15" customHeight="1">
      <c r="A121" s="461" t="s">
        <v>2822</v>
      </c>
      <c r="B121" s="461" t="s">
        <v>3917</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976</v>
      </c>
      <c r="B123" s="1491"/>
      <c r="C123" s="1491"/>
      <c r="D123" s="1492"/>
      <c r="E123" s="806" t="s">
        <v>3541</v>
      </c>
      <c r="F123" s="809" t="s">
        <v>3534</v>
      </c>
      <c r="G123" s="813" t="s">
        <v>3535</v>
      </c>
      <c r="H123" s="814"/>
      <c r="I123" s="815"/>
      <c r="J123" s="813" t="s">
        <v>3536</v>
      </c>
      <c r="K123" s="822"/>
      <c r="L123" s="813" t="s">
        <v>3537</v>
      </c>
      <c r="M123" s="827"/>
      <c r="N123" s="813" t="s">
        <v>3538</v>
      </c>
      <c r="O123" s="815"/>
      <c r="P123" s="813" t="s">
        <v>3539</v>
      </c>
      <c r="Q123" s="815"/>
      <c r="R123" s="813" t="s">
        <v>3540</v>
      </c>
      <c r="S123" s="832"/>
    </row>
    <row r="124" spans="1:19" s="458" customFormat="1" ht="21.6" customHeight="1">
      <c r="A124" s="1493"/>
      <c r="B124" s="1494"/>
      <c r="C124" s="1494"/>
      <c r="D124" s="1495"/>
      <c r="E124" s="807"/>
      <c r="F124" s="810"/>
      <c r="G124" s="816"/>
      <c r="H124" s="817"/>
      <c r="I124" s="818"/>
      <c r="J124" s="823"/>
      <c r="K124" s="824"/>
      <c r="L124" s="816"/>
      <c r="M124" s="828"/>
      <c r="N124" s="816"/>
      <c r="O124" s="818"/>
      <c r="P124" s="816"/>
      <c r="Q124" s="818"/>
      <c r="R124" s="816"/>
      <c r="S124" s="833"/>
    </row>
    <row r="125" spans="1:19" s="458" customFormat="1" ht="21.6" customHeight="1">
      <c r="A125" s="1493"/>
      <c r="B125" s="1494"/>
      <c r="C125" s="1494"/>
      <c r="D125" s="1495"/>
      <c r="E125" s="807"/>
      <c r="F125" s="811"/>
      <c r="G125" s="816"/>
      <c r="H125" s="817"/>
      <c r="I125" s="818"/>
      <c r="J125" s="823"/>
      <c r="K125" s="824"/>
      <c r="L125" s="829"/>
      <c r="M125" s="828"/>
      <c r="N125" s="816"/>
      <c r="O125" s="818"/>
      <c r="P125" s="816"/>
      <c r="Q125" s="818"/>
      <c r="R125" s="834"/>
      <c r="S125" s="833"/>
    </row>
    <row r="126" spans="1:19" s="458" customFormat="1" ht="21.6" customHeight="1">
      <c r="A126" s="1493"/>
      <c r="B126" s="1494"/>
      <c r="C126" s="1494"/>
      <c r="D126" s="1495"/>
      <c r="E126" s="807"/>
      <c r="F126" s="811"/>
      <c r="G126" s="816"/>
      <c r="H126" s="817"/>
      <c r="I126" s="818"/>
      <c r="J126" s="823"/>
      <c r="K126" s="824"/>
      <c r="L126" s="829"/>
      <c r="M126" s="828"/>
      <c r="N126" s="816"/>
      <c r="O126" s="818"/>
      <c r="P126" s="816"/>
      <c r="Q126" s="818"/>
      <c r="R126" s="834"/>
      <c r="S126" s="833"/>
    </row>
    <row r="127" spans="1:19" s="458" customFormat="1" ht="21.6" customHeight="1">
      <c r="A127" s="1496"/>
      <c r="B127" s="1497"/>
      <c r="C127" s="1497"/>
      <c r="D127" s="1498"/>
      <c r="E127" s="808"/>
      <c r="F127" s="812"/>
      <c r="G127" s="819"/>
      <c r="H127" s="820"/>
      <c r="I127" s="821"/>
      <c r="J127" s="825"/>
      <c r="K127" s="826"/>
      <c r="L127" s="830"/>
      <c r="M127" s="831"/>
      <c r="N127" s="819"/>
      <c r="O127" s="821"/>
      <c r="P127" s="819"/>
      <c r="Q127" s="821"/>
      <c r="R127" s="835"/>
      <c r="S127" s="836"/>
    </row>
    <row r="128" spans="1:19" s="458" customFormat="1" ht="13.9" customHeight="1">
      <c r="A128" s="718" t="s">
        <v>3533</v>
      </c>
      <c r="B128" s="719"/>
      <c r="C128" s="719"/>
      <c r="D128" s="726"/>
      <c r="E128" s="1499" t="s">
        <v>3919</v>
      </c>
      <c r="F128" s="1499" t="s">
        <v>3919</v>
      </c>
      <c r="G128" s="1500" t="s">
        <v>3919</v>
      </c>
      <c r="H128" s="1501"/>
      <c r="I128" s="1502"/>
      <c r="J128" s="1500" t="s">
        <v>3918</v>
      </c>
      <c r="K128" s="1502"/>
      <c r="L128" s="1500" t="s">
        <v>3919</v>
      </c>
      <c r="M128" s="1502"/>
      <c r="N128" s="1500" t="s">
        <v>3919</v>
      </c>
      <c r="O128" s="1502"/>
      <c r="P128" s="1503" t="s">
        <v>3969</v>
      </c>
      <c r="Q128" s="1504"/>
      <c r="R128" s="1505">
        <v>1</v>
      </c>
      <c r="S128" s="1506"/>
    </row>
    <row r="129" spans="1:19" s="458" customFormat="1" ht="13.9" customHeight="1">
      <c r="A129" s="720" t="s">
        <v>3523</v>
      </c>
      <c r="B129" s="721"/>
      <c r="C129" s="721"/>
      <c r="D129" s="722"/>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20" t="s">
        <v>3524</v>
      </c>
      <c r="B130" s="721"/>
      <c r="C130" s="721"/>
      <c r="D130" s="722"/>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20" t="s">
        <v>3525</v>
      </c>
      <c r="B131" s="721"/>
      <c r="C131" s="721"/>
      <c r="D131" s="722"/>
      <c r="E131" s="1507"/>
      <c r="F131" s="1507"/>
      <c r="G131" s="1508"/>
      <c r="H131" s="1509"/>
      <c r="I131" s="1510"/>
      <c r="J131" s="1508"/>
      <c r="K131" s="1510"/>
      <c r="L131" s="1508"/>
      <c r="M131" s="1510"/>
      <c r="N131" s="1508"/>
      <c r="O131" s="1510"/>
      <c r="P131" s="1511"/>
      <c r="Q131" s="1512"/>
      <c r="R131" s="1513"/>
      <c r="S131" s="1514"/>
    </row>
    <row r="132" spans="1:19" s="458" customFormat="1" ht="13.9" customHeight="1">
      <c r="A132" s="720" t="s">
        <v>3526</v>
      </c>
      <c r="B132" s="721"/>
      <c r="C132" s="721"/>
      <c r="D132" s="722"/>
      <c r="E132" s="1507"/>
      <c r="F132" s="1507"/>
      <c r="G132" s="1508"/>
      <c r="H132" s="1509"/>
      <c r="I132" s="1510"/>
      <c r="J132" s="1508"/>
      <c r="K132" s="1510"/>
      <c r="L132" s="1508"/>
      <c r="M132" s="1510"/>
      <c r="N132" s="1508"/>
      <c r="O132" s="1510"/>
      <c r="P132" s="1511"/>
      <c r="Q132" s="1512"/>
      <c r="R132" s="1513"/>
      <c r="S132" s="1514"/>
    </row>
    <row r="133" spans="1:19" s="458" customFormat="1" ht="13.9" customHeight="1">
      <c r="A133" s="720" t="s">
        <v>3527</v>
      </c>
      <c r="B133" s="721"/>
      <c r="C133" s="721"/>
      <c r="D133" s="722"/>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20" t="s">
        <v>996</v>
      </c>
      <c r="B134" s="721"/>
      <c r="C134" s="721"/>
      <c r="D134" s="722"/>
      <c r="E134" s="1507" t="s">
        <v>3919</v>
      </c>
      <c r="F134" s="1507" t="s">
        <v>3919</v>
      </c>
      <c r="G134" s="1508" t="s">
        <v>3919</v>
      </c>
      <c r="H134" s="1509"/>
      <c r="I134" s="1510"/>
      <c r="J134" s="1508" t="s">
        <v>3918</v>
      </c>
      <c r="K134" s="1510"/>
      <c r="L134" s="1508" t="s">
        <v>3919</v>
      </c>
      <c r="M134" s="1510"/>
      <c r="N134" s="1508" t="s">
        <v>3919</v>
      </c>
      <c r="O134" s="1510"/>
      <c r="P134" s="1511" t="s">
        <v>3969</v>
      </c>
      <c r="Q134" s="1512"/>
      <c r="R134" s="1513"/>
      <c r="S134" s="1514"/>
    </row>
    <row r="135" spans="1:19" s="458" customFormat="1" ht="13.9" customHeight="1">
      <c r="A135" s="720" t="s">
        <v>3528</v>
      </c>
      <c r="B135" s="721"/>
      <c r="C135" s="721"/>
      <c r="D135" s="722"/>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20" t="s">
        <v>3529</v>
      </c>
      <c r="B136" s="721"/>
      <c r="C136" s="721"/>
      <c r="D136" s="722"/>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20" t="s">
        <v>3530</v>
      </c>
      <c r="B137" s="721"/>
      <c r="C137" s="721"/>
      <c r="D137" s="722"/>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20" t="s">
        <v>3531</v>
      </c>
      <c r="B138" s="721"/>
      <c r="C138" s="721"/>
      <c r="D138" s="722"/>
      <c r="E138" s="1507"/>
      <c r="F138" s="1507"/>
      <c r="G138" s="1508"/>
      <c r="H138" s="1509"/>
      <c r="I138" s="1510"/>
      <c r="J138" s="1508"/>
      <c r="K138" s="1510"/>
      <c r="L138" s="1508"/>
      <c r="M138" s="1510"/>
      <c r="N138" s="1508"/>
      <c r="O138" s="1510"/>
      <c r="P138" s="1511"/>
      <c r="Q138" s="1512"/>
      <c r="R138" s="1513"/>
      <c r="S138" s="1514"/>
    </row>
    <row r="139" spans="1:19" s="458" customFormat="1" ht="13.9" customHeight="1">
      <c r="A139" s="720" t="s">
        <v>2280</v>
      </c>
      <c r="B139" s="721"/>
      <c r="C139" s="721"/>
      <c r="D139" s="722"/>
      <c r="E139" s="1507" t="s">
        <v>3919</v>
      </c>
      <c r="F139" s="1507" t="s">
        <v>3919</v>
      </c>
      <c r="G139" s="1508" t="s">
        <v>3919</v>
      </c>
      <c r="H139" s="1509"/>
      <c r="I139" s="1510"/>
      <c r="J139" s="1508" t="s">
        <v>3918</v>
      </c>
      <c r="K139" s="1510"/>
      <c r="L139" s="1508" t="s">
        <v>3919</v>
      </c>
      <c r="M139" s="1510"/>
      <c r="N139" s="1508" t="s">
        <v>3919</v>
      </c>
      <c r="O139" s="1510"/>
      <c r="P139" s="1511" t="s">
        <v>3969</v>
      </c>
      <c r="Q139" s="1512"/>
      <c r="R139" s="1513"/>
      <c r="S139" s="1514"/>
    </row>
    <row r="140" spans="1:19" s="458" customFormat="1" ht="13.9" customHeight="1">
      <c r="A140" s="724" t="s">
        <v>3532</v>
      </c>
      <c r="B140" s="725"/>
      <c r="C140" s="725"/>
      <c r="D140" s="514"/>
      <c r="E140" s="1515" t="s">
        <v>3919</v>
      </c>
      <c r="F140" s="1515" t="s">
        <v>3919</v>
      </c>
      <c r="G140" s="1516" t="s">
        <v>3919</v>
      </c>
      <c r="H140" s="1517"/>
      <c r="I140" s="1518"/>
      <c r="J140" s="1516" t="s">
        <v>3918</v>
      </c>
      <c r="K140" s="1518"/>
      <c r="L140" s="1516" t="s">
        <v>3919</v>
      </c>
      <c r="M140" s="1518"/>
      <c r="N140" s="1516" t="s">
        <v>3919</v>
      </c>
      <c r="O140" s="1518"/>
      <c r="P140" s="1519" t="s">
        <v>3969</v>
      </c>
      <c r="Q140" s="1520"/>
      <c r="R140" s="1521"/>
      <c r="S140" s="1522"/>
    </row>
    <row r="141" spans="1:19" s="721" customFormat="1" ht="13.9" customHeight="1">
      <c r="G141" s="470"/>
      <c r="H141" s="470"/>
      <c r="I141" s="470"/>
      <c r="J141" s="723"/>
      <c r="K141" s="723"/>
      <c r="L141" s="723"/>
      <c r="M141" s="723"/>
      <c r="P141" s="468"/>
      <c r="Q141" s="489" t="s">
        <v>832</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2824</v>
      </c>
      <c r="B143" s="506"/>
      <c r="C143" s="491" t="s">
        <v>879</v>
      </c>
      <c r="N143" s="491" t="s">
        <v>822</v>
      </c>
      <c r="O143" s="491" t="s">
        <v>89</v>
      </c>
    </row>
    <row r="144" spans="1:19" ht="3.6" customHeight="1">
      <c r="B144" s="506"/>
    </row>
    <row r="145" spans="1:19" ht="42.6" customHeight="1">
      <c r="A145" s="1290" t="s">
        <v>4028</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2829</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3"/>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31" zoomScaleNormal="85" zoomScaleSheetLayoutView="90" workbookViewId="0">
      <selection activeCell="C12" sqref="C12"/>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2011-030 Water Tower Park Apartments, Gray, Jones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3769</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0" t="s">
        <v>3918</v>
      </c>
      <c r="C5" s="713" t="s">
        <v>3651</v>
      </c>
      <c r="D5" s="458"/>
      <c r="E5" s="1440" t="s">
        <v>3919</v>
      </c>
      <c r="F5" s="715" t="s">
        <v>2653</v>
      </c>
      <c r="G5" s="458"/>
      <c r="J5" s="1441"/>
      <c r="K5" s="1442"/>
      <c r="M5" s="1440" t="s">
        <v>3919</v>
      </c>
      <c r="N5" s="713" t="s">
        <v>845</v>
      </c>
    </row>
    <row r="6" spans="1:17" s="398" customFormat="1" ht="16.899999999999999" customHeight="1">
      <c r="A6" s="733"/>
      <c r="B6" s="1440" t="s">
        <v>3919</v>
      </c>
      <c r="C6" s="713" t="s">
        <v>2834</v>
      </c>
      <c r="D6" s="458"/>
      <c r="E6" s="1440" t="s">
        <v>3919</v>
      </c>
      <c r="F6" s="715" t="s">
        <v>3310</v>
      </c>
      <c r="J6" s="1440" t="s">
        <v>3919</v>
      </c>
      <c r="K6" s="721" t="s">
        <v>846</v>
      </c>
      <c r="M6" s="1440" t="s">
        <v>3919</v>
      </c>
      <c r="N6" s="715" t="s">
        <v>844</v>
      </c>
    </row>
    <row r="7" spans="1:17" s="398" customFormat="1" ht="16.899999999999999" customHeight="1">
      <c r="A7" s="458"/>
      <c r="B7" s="1440" t="s">
        <v>3919</v>
      </c>
      <c r="C7" s="713" t="s">
        <v>2835</v>
      </c>
      <c r="E7" s="1440" t="s">
        <v>3919</v>
      </c>
      <c r="F7" s="715" t="s">
        <v>3309</v>
      </c>
      <c r="G7" s="458"/>
      <c r="J7" s="1440" t="s">
        <v>3919</v>
      </c>
      <c r="K7" s="721" t="s">
        <v>2290</v>
      </c>
      <c r="M7" s="1440" t="s">
        <v>3919</v>
      </c>
      <c r="N7" s="464" t="s">
        <v>1981</v>
      </c>
      <c r="P7" s="1441"/>
      <c r="Q7" s="1442"/>
    </row>
    <row r="8" spans="1:17" s="398" customFormat="1" ht="16.899999999999999" customHeight="1">
      <c r="A8" s="733"/>
      <c r="B8" s="1440" t="s">
        <v>3919</v>
      </c>
      <c r="C8" s="721" t="s">
        <v>3913</v>
      </c>
      <c r="D8" s="458"/>
      <c r="E8" s="1440" t="s">
        <v>3919</v>
      </c>
      <c r="F8" s="487" t="s">
        <v>3914</v>
      </c>
      <c r="H8" s="1440" t="s">
        <v>3919</v>
      </c>
      <c r="I8" s="458" t="s">
        <v>3652</v>
      </c>
      <c r="J8" s="1440" t="s">
        <v>3919</v>
      </c>
      <c r="K8" s="458" t="s">
        <v>874</v>
      </c>
      <c r="M8" s="1440" t="s">
        <v>3919</v>
      </c>
      <c r="N8" s="1443" t="s">
        <v>3230</v>
      </c>
      <c r="O8" s="1444"/>
      <c r="P8" s="1444"/>
      <c r="Q8" s="1445"/>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1229</v>
      </c>
      <c r="B11" s="395" t="s">
        <v>3493</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2925</v>
      </c>
      <c r="C13" s="458"/>
      <c r="D13" s="458"/>
      <c r="E13" s="458"/>
      <c r="F13" s="458"/>
      <c r="G13" s="458"/>
      <c r="H13" s="839" t="s">
        <v>1997</v>
      </c>
      <c r="I13" s="839"/>
      <c r="J13" s="839"/>
      <c r="K13" s="839"/>
      <c r="L13" s="797" t="s">
        <v>3066</v>
      </c>
      <c r="M13" s="797"/>
      <c r="N13" s="797" t="s">
        <v>2257</v>
      </c>
      <c r="O13" s="797"/>
      <c r="P13" s="797" t="s">
        <v>2536</v>
      </c>
      <c r="Q13" s="797"/>
    </row>
    <row r="14" spans="1:17" s="398" customFormat="1" ht="16.899999999999999" customHeight="1">
      <c r="A14" s="458"/>
      <c r="B14" s="862" t="s">
        <v>2347</v>
      </c>
      <c r="C14" s="863"/>
      <c r="D14" s="863"/>
      <c r="E14" s="719"/>
      <c r="F14" s="719"/>
      <c r="G14" s="719"/>
      <c r="H14" s="1443" t="s">
        <v>4021</v>
      </c>
      <c r="I14" s="1444"/>
      <c r="J14" s="1444"/>
      <c r="K14" s="1445"/>
      <c r="L14" s="1392">
        <v>5545789</v>
      </c>
      <c r="M14" s="1393"/>
      <c r="N14" s="1446">
        <v>0.05</v>
      </c>
      <c r="O14" s="1447"/>
      <c r="P14" s="1448">
        <v>24</v>
      </c>
      <c r="Q14" s="1449"/>
    </row>
    <row r="15" spans="1:17" s="398" customFormat="1" ht="16.899999999999999" customHeight="1">
      <c r="A15" s="458"/>
      <c r="B15" s="857" t="s">
        <v>2348</v>
      </c>
      <c r="C15" s="858"/>
      <c r="D15" s="858"/>
      <c r="E15" s="721"/>
      <c r="F15" s="721"/>
      <c r="G15" s="721"/>
      <c r="H15" s="1443"/>
      <c r="I15" s="1444"/>
      <c r="J15" s="1444"/>
      <c r="K15" s="1445"/>
      <c r="L15" s="1392"/>
      <c r="M15" s="1393"/>
      <c r="N15" s="1446"/>
      <c r="O15" s="1447"/>
      <c r="P15" s="1450"/>
      <c r="Q15" s="1451"/>
    </row>
    <row r="16" spans="1:17" s="398" customFormat="1" ht="16.899999999999999" customHeight="1">
      <c r="A16" s="458"/>
      <c r="B16" s="865" t="s">
        <v>2349</v>
      </c>
      <c r="C16" s="866"/>
      <c r="D16" s="866"/>
      <c r="E16" s="725"/>
      <c r="F16" s="725"/>
      <c r="G16" s="725"/>
      <c r="H16" s="1443"/>
      <c r="I16" s="1444"/>
      <c r="J16" s="1444"/>
      <c r="K16" s="1445"/>
      <c r="L16" s="1392"/>
      <c r="M16" s="1393"/>
      <c r="N16" s="1446"/>
      <c r="O16" s="1447"/>
      <c r="P16" s="1450"/>
      <c r="Q16" s="1451"/>
    </row>
    <row r="17" spans="1:17" s="398" customFormat="1" ht="16.899999999999999" customHeight="1">
      <c r="A17" s="458"/>
      <c r="B17" s="862" t="s">
        <v>3331</v>
      </c>
      <c r="C17" s="863"/>
      <c r="D17" s="863"/>
      <c r="E17" s="721"/>
      <c r="F17" s="721"/>
      <c r="G17" s="721"/>
      <c r="H17" s="1443"/>
      <c r="I17" s="1444"/>
      <c r="J17" s="1444"/>
      <c r="K17" s="1445"/>
      <c r="L17" s="1392"/>
      <c r="M17" s="1393"/>
      <c r="N17" s="847"/>
      <c r="O17" s="848"/>
      <c r="P17" s="846"/>
      <c r="Q17" s="846"/>
    </row>
    <row r="18" spans="1:17" s="398" customFormat="1" ht="16.899999999999999" customHeight="1">
      <c r="A18" s="458"/>
      <c r="B18" s="857" t="s">
        <v>1383</v>
      </c>
      <c r="C18" s="858"/>
      <c r="D18" s="858"/>
      <c r="E18" s="721"/>
      <c r="H18" s="1443"/>
      <c r="I18" s="1444"/>
      <c r="J18" s="1444"/>
      <c r="K18" s="1445"/>
      <c r="L18" s="1392"/>
      <c r="M18" s="1393"/>
      <c r="N18" s="847"/>
      <c r="O18" s="848"/>
      <c r="P18" s="846"/>
      <c r="Q18" s="846"/>
    </row>
    <row r="19" spans="1:17" s="398" customFormat="1" ht="16.899999999999999" customHeight="1">
      <c r="A19" s="458"/>
      <c r="B19" s="857" t="s">
        <v>977</v>
      </c>
      <c r="C19" s="858"/>
      <c r="D19" s="858"/>
      <c r="E19" s="721"/>
      <c r="H19" s="1443" t="s">
        <v>3970</v>
      </c>
      <c r="I19" s="1444"/>
      <c r="J19" s="1444"/>
      <c r="K19" s="1445"/>
      <c r="L19" s="1392">
        <v>133061</v>
      </c>
      <c r="M19" s="1393"/>
      <c r="N19" s="847"/>
      <c r="O19" s="848"/>
      <c r="P19" s="846"/>
      <c r="Q19" s="846"/>
    </row>
    <row r="20" spans="1:17" s="398" customFormat="1" ht="16.899999999999999" customHeight="1">
      <c r="A20" s="458"/>
      <c r="B20" s="857" t="s">
        <v>1384</v>
      </c>
      <c r="C20" s="858"/>
      <c r="D20" s="858"/>
      <c r="E20" s="721"/>
      <c r="H20" s="1443" t="s">
        <v>4022</v>
      </c>
      <c r="I20" s="1444"/>
      <c r="J20" s="1444"/>
      <c r="K20" s="1445"/>
      <c r="L20" s="1392">
        <v>722248</v>
      </c>
      <c r="M20" s="1393"/>
      <c r="N20" s="458"/>
      <c r="O20" s="458"/>
      <c r="P20" s="458"/>
      <c r="Q20" s="458"/>
    </row>
    <row r="21" spans="1:17" s="398" customFormat="1" ht="16.899999999999999" customHeight="1">
      <c r="A21" s="458"/>
      <c r="B21" s="857" t="s">
        <v>1385</v>
      </c>
      <c r="C21" s="858"/>
      <c r="D21" s="858"/>
      <c r="E21" s="721"/>
      <c r="H21" s="1443" t="s">
        <v>4022</v>
      </c>
      <c r="I21" s="1444"/>
      <c r="J21" s="1444"/>
      <c r="K21" s="1445"/>
      <c r="L21" s="1392">
        <v>220923</v>
      </c>
      <c r="M21" s="1393"/>
      <c r="N21" s="458"/>
      <c r="O21" s="458"/>
      <c r="P21" s="458"/>
      <c r="Q21" s="458"/>
    </row>
    <row r="22" spans="1:17" s="398" customFormat="1" ht="16.899999999999999" customHeight="1">
      <c r="A22" s="458"/>
      <c r="B22" s="720" t="s">
        <v>309</v>
      </c>
      <c r="C22" s="721"/>
      <c r="D22" s="1452"/>
      <c r="E22" s="1452"/>
      <c r="F22" s="1452"/>
      <c r="G22" s="1452"/>
      <c r="H22" s="1443"/>
      <c r="I22" s="1444"/>
      <c r="J22" s="1444"/>
      <c r="K22" s="1445"/>
      <c r="L22" s="1392"/>
      <c r="M22" s="1393"/>
      <c r="N22" s="458"/>
      <c r="O22" s="458"/>
      <c r="P22" s="458"/>
      <c r="Q22" s="458"/>
    </row>
    <row r="23" spans="1:17" s="398" customFormat="1" ht="16.899999999999999" customHeight="1">
      <c r="A23" s="458"/>
      <c r="B23" s="720" t="s">
        <v>309</v>
      </c>
      <c r="C23" s="721"/>
      <c r="D23" s="1452"/>
      <c r="E23" s="1452"/>
      <c r="F23" s="1452"/>
      <c r="G23" s="1452"/>
      <c r="H23" s="1443"/>
      <c r="I23" s="1444"/>
      <c r="J23" s="1444"/>
      <c r="K23" s="1445"/>
      <c r="L23" s="1392"/>
      <c r="M23" s="1393"/>
      <c r="N23" s="458"/>
      <c r="O23" s="458"/>
      <c r="P23" s="458"/>
      <c r="Q23" s="458"/>
    </row>
    <row r="24" spans="1:17" s="398" customFormat="1" ht="16.899999999999999" customHeight="1">
      <c r="A24" s="458"/>
      <c r="B24" s="724" t="s">
        <v>309</v>
      </c>
      <c r="C24" s="725"/>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1998</v>
      </c>
      <c r="C25" s="458"/>
      <c r="D25" s="458"/>
      <c r="E25" s="458"/>
      <c r="F25" s="458"/>
      <c r="G25" s="458"/>
      <c r="H25" s="458"/>
      <c r="I25" s="458"/>
      <c r="L25" s="853">
        <f>SUM(L14:L24)</f>
        <v>6622021</v>
      </c>
      <c r="M25" s="854"/>
      <c r="N25" s="482"/>
      <c r="O25" s="482"/>
      <c r="P25" s="482"/>
      <c r="Q25" s="482"/>
    </row>
    <row r="26" spans="1:17" s="398" customFormat="1" ht="16.899999999999999" customHeight="1">
      <c r="A26" s="458"/>
      <c r="B26" s="713" t="s">
        <v>1999</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6622021</v>
      </c>
      <c r="M26" s="854"/>
      <c r="N26" s="849"/>
      <c r="O26" s="850"/>
      <c r="P26" s="850"/>
      <c r="Q26" s="850"/>
    </row>
    <row r="27" spans="1:17" s="398" customFormat="1" ht="16.899999999999999" customHeight="1">
      <c r="A27" s="458"/>
      <c r="B27" s="464" t="s">
        <v>3259</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1231</v>
      </c>
      <c r="B29" s="395" t="s">
        <v>1382</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3193</v>
      </c>
      <c r="K30" s="723" t="s">
        <v>1995</v>
      </c>
      <c r="L30" s="723" t="s">
        <v>2000</v>
      </c>
      <c r="M30" s="799" t="s">
        <v>40</v>
      </c>
      <c r="N30" s="799"/>
      <c r="O30" s="717"/>
      <c r="P30" s="723"/>
      <c r="Q30" s="867" t="s">
        <v>3490</v>
      </c>
    </row>
    <row r="31" spans="1:17" s="398" customFormat="1" ht="13.15" customHeight="1" thickBot="1">
      <c r="A31" s="458"/>
      <c r="B31" s="727" t="s">
        <v>2925</v>
      </c>
      <c r="C31" s="725"/>
      <c r="D31" s="725"/>
      <c r="E31" s="858" t="s">
        <v>1997</v>
      </c>
      <c r="F31" s="858"/>
      <c r="G31" s="858"/>
      <c r="H31" s="797" t="s">
        <v>719</v>
      </c>
      <c r="I31" s="797"/>
      <c r="J31" s="714" t="s">
        <v>2842</v>
      </c>
      <c r="K31" s="714" t="s">
        <v>3330</v>
      </c>
      <c r="L31" s="714" t="s">
        <v>3330</v>
      </c>
      <c r="M31" s="1453"/>
      <c r="N31" s="1453"/>
      <c r="O31" s="797" t="s">
        <v>84</v>
      </c>
      <c r="P31" s="797"/>
      <c r="Q31" s="868"/>
    </row>
    <row r="32" spans="1:17" s="398" customFormat="1" ht="13.15" customHeight="1" thickBot="1">
      <c r="A32" s="458"/>
      <c r="B32" s="862" t="str">
        <f>IF(E32 ="&lt;&lt;Select applicable option&gt;&gt;", "Make a selection FIRST --&gt;",IF(E32 = "Neither","N/A","Mortgage A"))</f>
        <v>N/A</v>
      </c>
      <c r="C32" s="863"/>
      <c r="D32" s="863"/>
      <c r="E32" s="1454" t="s">
        <v>3971</v>
      </c>
      <c r="F32" s="1455"/>
      <c r="G32" s="1456"/>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3016</v>
      </c>
      <c r="P32" s="841"/>
      <c r="Q32" s="1457" t="s">
        <v>2760</v>
      </c>
    </row>
    <row r="33" spans="1:19" s="398" customFormat="1" ht="13.15" customHeight="1">
      <c r="A33" s="458"/>
      <c r="B33" s="857" t="str">
        <f>IF(OR(E32 = "Neither",E32 = "&lt;&lt;Select applicable option&gt;&gt;"), "Mortgage A","Mortgage B")</f>
        <v>Mortgage A</v>
      </c>
      <c r="C33" s="858"/>
      <c r="D33" s="859"/>
      <c r="E33" s="1458" t="s">
        <v>4021</v>
      </c>
      <c r="F33" s="1459"/>
      <c r="G33" s="1460"/>
      <c r="H33" s="1461">
        <v>750000</v>
      </c>
      <c r="I33" s="1462"/>
      <c r="J33" s="1463">
        <v>7.7499999999999999E-2</v>
      </c>
      <c r="K33" s="1440">
        <v>20</v>
      </c>
      <c r="L33" s="1440">
        <v>30</v>
      </c>
      <c r="M33" s="1464">
        <f>IF(OR(H33&lt;=0,H33=""),"",IF(O33="Amortizing",-PMT(J33/12,L33*12,H33,0,0)*12,""))</f>
        <v>64477.102100313889</v>
      </c>
      <c r="N33" s="1465"/>
      <c r="O33" s="1403" t="s">
        <v>3016</v>
      </c>
      <c r="P33" s="1404"/>
      <c r="Q33" s="1466">
        <v>1.1499999999999999</v>
      </c>
    </row>
    <row r="34" spans="1:19" s="398" customFormat="1" ht="13.15" customHeight="1">
      <c r="A34" s="458"/>
      <c r="B34" s="720" t="str">
        <f>IF(OR(E32 = "Neither",E32 = "&lt;&lt;Select applicable option&gt;&gt;"), "Mortgage B","Mortgage C")</f>
        <v>Mortgage B</v>
      </c>
      <c r="C34" s="721"/>
      <c r="D34" s="722"/>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20" t="s">
        <v>1230</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0" t="s">
        <v>2085</v>
      </c>
      <c r="C36" s="721"/>
      <c r="D36" s="722"/>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4" t="s">
        <v>292</v>
      </c>
      <c r="C37" s="725"/>
      <c r="D37" s="555">
        <f>IF(OR(H37="",H37=0,'Part IV-Uses of Funds'!$G$109="",'Part IV-Uses of Funds'!$G$109=0),"",H37/'Part IV-Uses of Funds'!$G$109)</f>
        <v>0.1593201465552336</v>
      </c>
      <c r="E37" s="1443" t="s">
        <v>3972</v>
      </c>
      <c r="F37" s="1467"/>
      <c r="G37" s="1462"/>
      <c r="H37" s="1461">
        <v>133061</v>
      </c>
      <c r="I37" s="1462"/>
      <c r="J37" s="1463">
        <v>0</v>
      </c>
      <c r="K37" s="1440">
        <v>15</v>
      </c>
      <c r="L37" s="1440">
        <v>15</v>
      </c>
      <c r="M37" s="1464" t="str">
        <f>IF(OR(H37&lt;=0,H37=""),"",IF(O37="Amortizing",-PMT(J37/12,L37*12,H37,0,0)*12,""))</f>
        <v/>
      </c>
      <c r="N37" s="1465"/>
      <c r="O37" s="1403" t="s">
        <v>1809</v>
      </c>
      <c r="P37" s="1404"/>
      <c r="Q37" s="1466"/>
    </row>
    <row r="38" spans="1:19" s="398" customFormat="1" ht="13.15" customHeight="1">
      <c r="A38" s="458"/>
      <c r="B38" s="862" t="s">
        <v>3331</v>
      </c>
      <c r="C38" s="863"/>
      <c r="D38" s="864"/>
      <c r="E38" s="1443"/>
      <c r="F38" s="1467"/>
      <c r="G38" s="1462"/>
      <c r="H38" s="1468"/>
      <c r="I38" s="1469"/>
      <c r="K38" s="556"/>
      <c r="L38" s="556"/>
      <c r="M38" s="556"/>
      <c r="N38" s="556"/>
      <c r="O38" s="556"/>
      <c r="P38" s="556"/>
      <c r="Q38" s="556"/>
      <c r="S38" s="648" t="s">
        <v>808</v>
      </c>
    </row>
    <row r="39" spans="1:19" s="398" customFormat="1" ht="13.15" customHeight="1">
      <c r="A39" s="458"/>
      <c r="B39" s="857" t="s">
        <v>1383</v>
      </c>
      <c r="C39" s="858"/>
      <c r="D39" s="859"/>
      <c r="E39" s="1443"/>
      <c r="F39" s="1467"/>
      <c r="G39" s="1462"/>
      <c r="H39" s="1468"/>
      <c r="I39" s="1469"/>
      <c r="J39" s="869" t="s">
        <v>809</v>
      </c>
      <c r="K39" s="870"/>
      <c r="L39" s="652" t="s">
        <v>810</v>
      </c>
      <c r="M39" s="557"/>
      <c r="N39" s="557"/>
      <c r="O39" s="557"/>
      <c r="P39" s="557"/>
      <c r="Q39" s="556"/>
      <c r="S39" s="649" t="s">
        <v>3863</v>
      </c>
    </row>
    <row r="40" spans="1:19" s="398" customFormat="1" ht="13.15" customHeight="1">
      <c r="A40" s="458"/>
      <c r="B40" s="857" t="s">
        <v>1384</v>
      </c>
      <c r="C40" s="858"/>
      <c r="D40" s="859"/>
      <c r="E40" s="1443" t="s">
        <v>4022</v>
      </c>
      <c r="F40" s="1444"/>
      <c r="G40" s="1445"/>
      <c r="H40" s="1461">
        <v>4814984</v>
      </c>
      <c r="I40" s="1470"/>
      <c r="J40" s="871">
        <f>'Part IV-Uses of Funds'!$J$165*10*'Part IV-Uses of Funds'!$N$158</f>
        <v>4814984.2050000001</v>
      </c>
      <c r="K40" s="872"/>
      <c r="L40" s="653">
        <f>H40-J40</f>
        <v>-0.20500000007450581</v>
      </c>
      <c r="M40" s="805" t="s">
        <v>2537</v>
      </c>
      <c r="N40" s="873"/>
      <c r="O40" s="873"/>
      <c r="P40" s="873"/>
      <c r="Q40" s="874"/>
      <c r="S40" s="650">
        <f>H40/H50</f>
        <v>0.67146497270063965</v>
      </c>
    </row>
    <row r="41" spans="1:19" s="398" customFormat="1" ht="13.15" customHeight="1">
      <c r="A41" s="458"/>
      <c r="B41" s="857" t="s">
        <v>1385</v>
      </c>
      <c r="C41" s="858"/>
      <c r="D41" s="859"/>
      <c r="E41" s="1443" t="s">
        <v>4022</v>
      </c>
      <c r="F41" s="1444"/>
      <c r="G41" s="1445"/>
      <c r="H41" s="1461">
        <v>1472819</v>
      </c>
      <c r="I41" s="1470"/>
      <c r="J41" s="871">
        <f>'Part IV-Uses of Funds'!$J$165*10*'Part IV-Uses of Funds'!$Q$158</f>
        <v>1472818.6980000001</v>
      </c>
      <c r="K41" s="872"/>
      <c r="L41" s="653">
        <f>H41-J41</f>
        <v>0.30199999990873039</v>
      </c>
      <c r="M41" s="875"/>
      <c r="N41" s="868"/>
      <c r="O41" s="868"/>
      <c r="P41" s="868"/>
      <c r="Q41" s="876"/>
      <c r="S41" s="650">
        <f>H41/H50</f>
        <v>0.20538933662666034</v>
      </c>
    </row>
    <row r="42" spans="1:19" s="398" customFormat="1" ht="13.15" customHeight="1">
      <c r="A42" s="458"/>
      <c r="B42" s="857" t="s">
        <v>2120</v>
      </c>
      <c r="C42" s="858"/>
      <c r="D42" s="859"/>
      <c r="E42" s="1443"/>
      <c r="F42" s="1444"/>
      <c r="G42" s="1445"/>
      <c r="H42" s="1461"/>
      <c r="I42" s="1470"/>
      <c r="M42" s="558" t="s">
        <v>3020</v>
      </c>
      <c r="N42" s="559" t="s">
        <v>3021</v>
      </c>
      <c r="O42" s="558">
        <v>8</v>
      </c>
      <c r="P42" s="558">
        <v>9</v>
      </c>
      <c r="Q42" s="558">
        <v>10</v>
      </c>
      <c r="S42" s="651">
        <f>SUM(S40:S41)</f>
        <v>0.87685430932730002</v>
      </c>
    </row>
    <row r="43" spans="1:19" s="398" customFormat="1" ht="13.15" customHeight="1">
      <c r="A43" s="458"/>
      <c r="B43" s="720" t="s">
        <v>824</v>
      </c>
      <c r="C43" s="721"/>
      <c r="D43" s="722"/>
      <c r="E43" s="1443"/>
      <c r="F43" s="1444"/>
      <c r="G43" s="1445"/>
      <c r="H43" s="1461"/>
      <c r="I43" s="1470"/>
      <c r="K43" s="458"/>
      <c r="L43" s="458"/>
      <c r="M43" s="558" t="s">
        <v>3022</v>
      </c>
      <c r="N43" s="1463"/>
      <c r="O43" s="1463"/>
      <c r="P43" s="1463"/>
      <c r="Q43" s="1463"/>
      <c r="S43" s="458"/>
    </row>
    <row r="44" spans="1:19" s="398" customFormat="1" ht="13.15" customHeight="1">
      <c r="A44" s="458"/>
      <c r="B44" s="720" t="s">
        <v>2923</v>
      </c>
      <c r="C44" s="721"/>
      <c r="D44" s="722"/>
      <c r="E44" s="1443"/>
      <c r="F44" s="1444"/>
      <c r="G44" s="1445"/>
      <c r="H44" s="1461"/>
      <c r="I44" s="1470"/>
      <c r="J44" s="458"/>
      <c r="M44" s="560">
        <v>11</v>
      </c>
      <c r="N44" s="560">
        <v>12</v>
      </c>
      <c r="O44" s="717">
        <v>13</v>
      </c>
      <c r="P44" s="558">
        <v>14</v>
      </c>
      <c r="Q44" s="558">
        <v>15</v>
      </c>
    </row>
    <row r="45" spans="1:19" s="398" customFormat="1" ht="13.15" customHeight="1">
      <c r="A45" s="458"/>
      <c r="B45" s="720" t="s">
        <v>2924</v>
      </c>
      <c r="C45" s="721"/>
      <c r="D45" s="722"/>
      <c r="E45" s="1443"/>
      <c r="F45" s="1444"/>
      <c r="G45" s="1445"/>
      <c r="H45" s="1461"/>
      <c r="I45" s="1470"/>
      <c r="J45" s="458"/>
      <c r="M45" s="1463"/>
      <c r="N45" s="1463"/>
      <c r="O45" s="1463"/>
      <c r="P45" s="1463"/>
      <c r="Q45" s="1463"/>
    </row>
    <row r="46" spans="1:19" s="398" customFormat="1" ht="13.15" customHeight="1">
      <c r="A46" s="458"/>
      <c r="B46" s="720" t="s">
        <v>1230</v>
      </c>
      <c r="C46" s="1443"/>
      <c r="D46" s="1445"/>
      <c r="E46" s="1443"/>
      <c r="F46" s="1444"/>
      <c r="G46" s="1445"/>
      <c r="H46" s="1461"/>
      <c r="I46" s="1470"/>
      <c r="J46" s="458"/>
      <c r="M46" s="558">
        <v>16</v>
      </c>
      <c r="N46" s="558">
        <v>17</v>
      </c>
      <c r="O46" s="558">
        <v>18</v>
      </c>
      <c r="P46" s="723">
        <v>19</v>
      </c>
      <c r="Q46" s="723">
        <v>20</v>
      </c>
    </row>
    <row r="47" spans="1:19" s="398" customFormat="1" ht="13.15" customHeight="1">
      <c r="A47" s="458"/>
      <c r="B47" s="720" t="s">
        <v>1230</v>
      </c>
      <c r="C47" s="1443"/>
      <c r="D47" s="1445"/>
      <c r="E47" s="1443"/>
      <c r="F47" s="1444"/>
      <c r="G47" s="1445"/>
      <c r="H47" s="1461"/>
      <c r="I47" s="1470"/>
      <c r="J47" s="458"/>
      <c r="K47" s="458"/>
      <c r="L47" s="558"/>
      <c r="M47" s="1463"/>
      <c r="N47" s="1463"/>
      <c r="O47" s="1463"/>
      <c r="P47" s="1463"/>
      <c r="Q47" s="1463"/>
    </row>
    <row r="48" spans="1:19" s="398" customFormat="1" ht="13.15" customHeight="1">
      <c r="A48" s="458"/>
      <c r="B48" s="724" t="s">
        <v>1230</v>
      </c>
      <c r="C48" s="1443"/>
      <c r="D48" s="1445"/>
      <c r="E48" s="1443"/>
      <c r="F48" s="1444"/>
      <c r="G48" s="1445"/>
      <c r="H48" s="1461"/>
      <c r="I48" s="1470"/>
      <c r="J48" s="458"/>
      <c r="K48" s="458"/>
      <c r="L48" s="558"/>
      <c r="M48" s="723">
        <v>21</v>
      </c>
      <c r="N48" s="723">
        <v>22</v>
      </c>
      <c r="O48" s="723">
        <v>23</v>
      </c>
      <c r="P48" s="723">
        <v>24</v>
      </c>
      <c r="Q48" s="723">
        <v>25</v>
      </c>
    </row>
    <row r="49" spans="1:17" s="398" customFormat="1" ht="13.15" customHeight="1">
      <c r="A49" s="458"/>
      <c r="B49" s="713" t="s">
        <v>3332</v>
      </c>
      <c r="C49" s="458"/>
      <c r="D49" s="458"/>
      <c r="E49" s="458"/>
      <c r="F49" s="458"/>
      <c r="G49" s="458"/>
      <c r="H49" s="844">
        <f>SUM(H32:I48)</f>
        <v>7170864</v>
      </c>
      <c r="I49" s="845"/>
      <c r="J49" s="482"/>
      <c r="K49" s="458"/>
      <c r="L49" s="558"/>
      <c r="M49" s="1463"/>
      <c r="N49" s="1463"/>
      <c r="O49" s="1463"/>
      <c r="P49" s="1463"/>
      <c r="Q49" s="1463"/>
    </row>
    <row r="50" spans="1:17" s="398" customFormat="1" ht="13.15" customHeight="1" thickBot="1">
      <c r="A50" s="458"/>
      <c r="B50" s="713" t="s">
        <v>3333</v>
      </c>
      <c r="C50" s="458"/>
      <c r="D50" s="458"/>
      <c r="E50" s="458"/>
      <c r="F50" s="458"/>
      <c r="G50" s="458"/>
      <c r="H50" s="842">
        <f>'Part IV-Uses of Funds'!$G$123</f>
        <v>7170864</v>
      </c>
      <c r="I50" s="843"/>
      <c r="J50" s="482"/>
      <c r="K50" s="458"/>
      <c r="L50" s="558"/>
      <c r="M50" s="723">
        <v>26</v>
      </c>
      <c r="N50" s="723">
        <v>27</v>
      </c>
      <c r="O50" s="723">
        <v>28</v>
      </c>
      <c r="P50" s="723">
        <v>29</v>
      </c>
      <c r="Q50" s="723">
        <v>30</v>
      </c>
    </row>
    <row r="51" spans="1:17" s="398" customFormat="1" ht="13.15" customHeight="1" thickBot="1">
      <c r="A51" s="458"/>
      <c r="B51" s="464" t="s">
        <v>2276</v>
      </c>
      <c r="C51" s="458"/>
      <c r="D51" s="458"/>
      <c r="E51" s="458"/>
      <c r="F51" s="458"/>
      <c r="G51" s="458"/>
      <c r="H51" s="860">
        <f>H49-H50</f>
        <v>0</v>
      </c>
      <c r="I51" s="861"/>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2822</v>
      </c>
      <c r="B53" s="461" t="s">
        <v>879</v>
      </c>
      <c r="C53" s="482"/>
      <c r="D53" s="482"/>
      <c r="E53" s="482"/>
      <c r="F53" s="482"/>
      <c r="G53" s="482"/>
      <c r="H53" s="482"/>
      <c r="I53" s="482"/>
      <c r="J53" s="482"/>
      <c r="K53" s="461" t="s">
        <v>2822</v>
      </c>
      <c r="L53" s="461" t="s">
        <v>89</v>
      </c>
      <c r="M53" s="482"/>
      <c r="N53" s="482"/>
      <c r="O53" s="482"/>
      <c r="P53" s="482"/>
      <c r="Q53" s="482"/>
    </row>
    <row r="54" spans="1:17" ht="5.45" customHeight="1">
      <c r="B54" s="519"/>
    </row>
    <row r="55" spans="1:17" ht="51" customHeight="1">
      <c r="A55" s="1290" t="s">
        <v>4023</v>
      </c>
      <c r="B55" s="1256"/>
      <c r="C55" s="1256"/>
      <c r="D55" s="1256"/>
      <c r="E55" s="1256"/>
      <c r="F55" s="1256"/>
      <c r="G55" s="1256"/>
      <c r="H55" s="1256"/>
      <c r="I55" s="1256"/>
      <c r="J55" s="1257"/>
      <c r="K55" s="1293"/>
      <c r="L55" s="1256"/>
      <c r="M55" s="1256"/>
      <c r="N55" s="1256"/>
      <c r="O55" s="1256"/>
      <c r="P55" s="1256"/>
      <c r="Q55" s="1257"/>
    </row>
    <row r="56" spans="1:17" ht="51" customHeight="1">
      <c r="A56" s="1294" t="s">
        <v>311</v>
      </c>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t="s">
        <v>311</v>
      </c>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12" sqref="C1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2011-030 Water Tower Park Apartments, Gray, Jones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3384</v>
      </c>
      <c r="B5" s="42"/>
      <c r="C5" s="1437"/>
      <c r="D5" s="374">
        <f>IF(C5&gt;1500000,1500000,0)</f>
        <v>0</v>
      </c>
      <c r="E5" s="375">
        <f>IF(C5&gt;1500000,C5-1500000,0)</f>
        <v>0</v>
      </c>
    </row>
    <row r="6" spans="1:17">
      <c r="A6" s="42" t="s">
        <v>3734</v>
      </c>
      <c r="B6" s="300" t="s">
        <v>745</v>
      </c>
      <c r="C6" s="376">
        <v>0</v>
      </c>
      <c r="D6" s="160" t="s">
        <v>746</v>
      </c>
      <c r="E6" s="42"/>
    </row>
    <row r="7" spans="1:17">
      <c r="A7" s="42"/>
      <c r="B7" s="300" t="s">
        <v>3750</v>
      </c>
      <c r="C7" s="1438"/>
      <c r="D7" s="160" t="s">
        <v>2659</v>
      </c>
      <c r="E7" s="42"/>
    </row>
    <row r="8" spans="1:17" ht="13.15" customHeight="1">
      <c r="A8" s="42" t="s">
        <v>3738</v>
      </c>
      <c r="B8" s="42"/>
      <c r="C8" s="376">
        <v>0</v>
      </c>
      <c r="D8" s="160" t="s">
        <v>2660</v>
      </c>
      <c r="E8" s="42"/>
    </row>
    <row r="9" spans="1:17">
      <c r="A9" s="42" t="s">
        <v>2093</v>
      </c>
      <c r="B9" s="42"/>
      <c r="C9" s="1439"/>
      <c r="D9" s="42"/>
      <c r="E9" s="42"/>
    </row>
    <row r="10" spans="1:17">
      <c r="A10" s="42" t="s">
        <v>2094</v>
      </c>
      <c r="B10" s="42"/>
      <c r="C10" s="1439"/>
      <c r="D10" s="42"/>
      <c r="E10" s="42"/>
    </row>
    <row r="11" spans="1:17">
      <c r="A11" s="42" t="s">
        <v>2091</v>
      </c>
      <c r="B11" s="42"/>
      <c r="C11" s="377" t="e">
        <f>PMT(C7/12,C10*12,-C5,0,0)*12</f>
        <v>#NUM!</v>
      </c>
      <c r="D11" s="374" t="e">
        <f>PMT($C$7/12,$C$10*12,-D5,0,0)*12</f>
        <v>#NUM!</v>
      </c>
      <c r="E11" s="374" t="e">
        <f>PMT($C$7/12,$C$10*12,-E5,0,0)*12</f>
        <v>#NUM!</v>
      </c>
    </row>
    <row r="12" spans="1:17">
      <c r="A12" s="42" t="s">
        <v>2092</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3752</v>
      </c>
      <c r="B16" s="731" t="s">
        <v>3748</v>
      </c>
      <c r="C16" s="731" t="s">
        <v>3749</v>
      </c>
      <c r="D16" s="885" t="s">
        <v>3383</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2011-030 Water Tower Park Apartments, Gray, Jones County</v>
      </c>
      <c r="B58" s="886"/>
      <c r="C58" s="886"/>
      <c r="D58" s="886"/>
      <c r="E58" s="886"/>
      <c r="F58" s="886"/>
      <c r="G58" s="886" t="str">
        <f>CONCATENATE('Part I-Project Information'!$O$4," ",'Part I-Project Information'!$F$22,", ",'Part I-Project Information'!$F$24,", ",'Part I-Project Information'!$J$25," County")</f>
        <v>2011-030 Water Tower Park Apartments, Gray, Jones County</v>
      </c>
      <c r="H58" s="886"/>
      <c r="I58" s="886"/>
      <c r="J58" s="886"/>
      <c r="K58" s="886"/>
      <c r="L58" s="886"/>
    </row>
    <row r="59" spans="1:12" ht="15">
      <c r="A59" s="887" t="s">
        <v>3742</v>
      </c>
      <c r="B59" s="887"/>
      <c r="C59" s="887"/>
      <c r="D59" s="887"/>
      <c r="E59" s="887"/>
      <c r="F59" s="887"/>
      <c r="G59" s="887" t="s">
        <v>3742</v>
      </c>
      <c r="H59" s="887"/>
      <c r="I59" s="887"/>
      <c r="J59" s="887"/>
      <c r="K59" s="887"/>
      <c r="L59" s="887"/>
    </row>
    <row r="60" spans="1:12" ht="6" customHeight="1">
      <c r="C60" s="273"/>
      <c r="D60" s="273"/>
      <c r="I60" s="273"/>
      <c r="J60" s="273"/>
    </row>
    <row r="61" spans="1:12">
      <c r="A61" s="276" t="s">
        <v>3743</v>
      </c>
      <c r="B61" s="277" t="s">
        <v>3744</v>
      </c>
      <c r="C61" s="277" t="s">
        <v>1994</v>
      </c>
      <c r="D61" s="277" t="s">
        <v>3745</v>
      </c>
      <c r="E61" s="276" t="s">
        <v>3746</v>
      </c>
      <c r="F61" s="307" t="s">
        <v>3752</v>
      </c>
      <c r="G61" s="276" t="s">
        <v>3743</v>
      </c>
      <c r="H61" s="277" t="s">
        <v>3744</v>
      </c>
      <c r="I61" s="277" t="s">
        <v>1994</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C12" sqref="C12"/>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2011-030 Water Tower Park Apartments, Gray, Jones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3384</v>
      </c>
      <c r="D5" s="1433"/>
      <c r="E5" s="891" t="s">
        <v>1552</v>
      </c>
      <c r="F5" s="892"/>
      <c r="G5" s="219"/>
    </row>
    <row r="6" spans="1:17">
      <c r="E6" s="892"/>
      <c r="F6" s="892"/>
      <c r="G6" s="219"/>
    </row>
    <row r="7" spans="1:17">
      <c r="A7" s="31" t="s">
        <v>3734</v>
      </c>
      <c r="C7" s="31" t="s">
        <v>3735</v>
      </c>
      <c r="D7" s="1434"/>
      <c r="E7" s="892"/>
      <c r="F7" s="892"/>
      <c r="G7" s="219"/>
    </row>
    <row r="8" spans="1:17">
      <c r="C8" s="31" t="s">
        <v>3736</v>
      </c>
      <c r="D8" s="1434"/>
      <c r="E8" s="892"/>
      <c r="F8" s="892"/>
      <c r="G8" s="219"/>
    </row>
    <row r="9" spans="1:17">
      <c r="C9" s="31" t="s">
        <v>3737</v>
      </c>
      <c r="D9" s="1434"/>
      <c r="E9" s="892"/>
      <c r="F9" s="892"/>
      <c r="G9" s="219"/>
    </row>
    <row r="10" spans="1:17">
      <c r="C10" s="31" t="s">
        <v>3750</v>
      </c>
      <c r="D10" s="318">
        <f>D7+D8+D9</f>
        <v>0</v>
      </c>
      <c r="E10" s="892"/>
      <c r="F10" s="892"/>
      <c r="G10" s="219"/>
    </row>
    <row r="11" spans="1:17">
      <c r="F11" s="219"/>
      <c r="G11" s="219"/>
    </row>
    <row r="12" spans="1:17">
      <c r="A12" s="31" t="s">
        <v>2741</v>
      </c>
      <c r="D12" s="1435"/>
      <c r="E12" s="31" t="s">
        <v>3229</v>
      </c>
      <c r="F12" s="219"/>
      <c r="G12" s="219"/>
    </row>
    <row r="13" spans="1:17">
      <c r="D13" s="273"/>
      <c r="F13" s="219"/>
      <c r="G13" s="219"/>
    </row>
    <row r="14" spans="1:17">
      <c r="A14" s="31" t="s">
        <v>3739</v>
      </c>
      <c r="D14" s="1436"/>
      <c r="E14" s="31" t="s">
        <v>3740</v>
      </c>
      <c r="F14" s="319"/>
    </row>
    <row r="15" spans="1:17">
      <c r="D15" s="292"/>
      <c r="F15" s="319"/>
    </row>
    <row r="16" spans="1:17">
      <c r="A16" s="31" t="s">
        <v>3741</v>
      </c>
      <c r="D16" s="1436"/>
      <c r="E16" s="31" t="s">
        <v>3740</v>
      </c>
      <c r="F16" s="319"/>
    </row>
    <row r="17" spans="1:10">
      <c r="D17" s="273"/>
      <c r="F17" s="319"/>
    </row>
    <row r="18" spans="1:10">
      <c r="A18" s="31" t="s">
        <v>1525</v>
      </c>
      <c r="D18" s="320" t="e">
        <f>PMT(D10/12,D16*12,-D5,0,0)*12</f>
        <v>#NUM!</v>
      </c>
      <c r="E18" s="31" t="s">
        <v>2245</v>
      </c>
      <c r="F18" s="319"/>
    </row>
    <row r="19" spans="1:10">
      <c r="D19" s="273"/>
      <c r="F19" s="319"/>
    </row>
    <row r="20" spans="1:10">
      <c r="A20" s="31" t="s">
        <v>2246</v>
      </c>
      <c r="D20" s="273" t="e">
        <f>D18/12</f>
        <v>#NUM!</v>
      </c>
      <c r="E20" s="31" t="s">
        <v>2245</v>
      </c>
      <c r="F20" s="319"/>
    </row>
    <row r="24" spans="1:10" ht="18" customHeight="1">
      <c r="A24" s="889" t="s">
        <v>2742</v>
      </c>
      <c r="B24" s="889"/>
      <c r="C24" s="889"/>
      <c r="D24" s="889"/>
      <c r="E24" s="889"/>
      <c r="F24" s="889"/>
      <c r="J24" s="321"/>
    </row>
    <row r="25" spans="1:10">
      <c r="C25" s="273"/>
      <c r="J25" s="321"/>
    </row>
    <row r="26" spans="1:10">
      <c r="A26" s="141"/>
      <c r="B26" s="111"/>
      <c r="C26" s="893" t="s">
        <v>3383</v>
      </c>
      <c r="D26" s="316"/>
      <c r="E26" s="111"/>
      <c r="F26" s="893" t="s">
        <v>3383</v>
      </c>
      <c r="J26" s="321"/>
    </row>
    <row r="27" spans="1:10">
      <c r="A27" s="322" t="s">
        <v>3752</v>
      </c>
      <c r="B27" s="736" t="s">
        <v>1646</v>
      </c>
      <c r="C27" s="894"/>
      <c r="D27" s="323" t="s">
        <v>3752</v>
      </c>
      <c r="E27" s="736"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2011-030 Water Tower Park Apartments, Gray, Jones County</v>
      </c>
      <c r="B50" s="886"/>
      <c r="C50" s="886"/>
      <c r="D50" s="886"/>
      <c r="E50" s="886"/>
      <c r="F50" s="886"/>
      <c r="G50" s="300"/>
      <c r="H50" s="300"/>
    </row>
    <row r="51" spans="1:10" ht="15">
      <c r="A51" s="887" t="s">
        <v>3742</v>
      </c>
      <c r="B51" s="887"/>
      <c r="C51" s="887"/>
      <c r="D51" s="887"/>
      <c r="E51" s="887"/>
      <c r="F51" s="887"/>
      <c r="G51" s="333"/>
      <c r="H51" s="333"/>
      <c r="I51" s="333"/>
      <c r="J51" s="333"/>
    </row>
    <row r="52" spans="1:10" ht="5.45" customHeight="1">
      <c r="C52" s="273"/>
      <c r="D52" s="273"/>
      <c r="G52" s="278"/>
      <c r="H52" s="272"/>
      <c r="I52" s="278"/>
    </row>
    <row r="53" spans="1:10">
      <c r="A53" s="276" t="s">
        <v>3743</v>
      </c>
      <c r="B53" s="276" t="s">
        <v>3744</v>
      </c>
      <c r="C53" s="276" t="s">
        <v>1994</v>
      </c>
      <c r="D53" s="276" t="s">
        <v>3745</v>
      </c>
      <c r="E53" s="276" t="s">
        <v>3746</v>
      </c>
      <c r="F53" s="307" t="s">
        <v>3752</v>
      </c>
      <c r="G53" s="334"/>
      <c r="H53" s="334"/>
      <c r="I53" s="334"/>
    </row>
    <row r="54" spans="1:10" ht="3.6" customHeight="1">
      <c r="F54" s="111"/>
      <c r="G54" s="278"/>
      <c r="H54" s="272"/>
      <c r="I54" s="278"/>
    </row>
    <row r="55" spans="1:10">
      <c r="A55" s="31" t="s">
        <v>3747</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54" zoomScaleNormal="85" zoomScaleSheetLayoutView="90" workbookViewId="0">
      <selection activeCell="C12" sqref="C12"/>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2011-030 Water Tower Park Apartments, Gray, Jones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950</v>
      </c>
      <c r="B5" s="461" t="s">
        <v>1494</v>
      </c>
      <c r="H5" s="721"/>
      <c r="I5" s="721"/>
      <c r="J5" s="895" t="s">
        <v>359</v>
      </c>
      <c r="K5" s="896"/>
      <c r="L5" s="522"/>
      <c r="M5" s="943" t="s">
        <v>720</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3077</v>
      </c>
      <c r="G8" s="1392">
        <v>5000</v>
      </c>
      <c r="H8" s="1393"/>
      <c r="J8" s="1392">
        <v>5000</v>
      </c>
      <c r="K8" s="1393"/>
      <c r="L8" s="732"/>
      <c r="M8" s="1392"/>
      <c r="N8" s="1393"/>
      <c r="P8" s="1392"/>
      <c r="Q8" s="1393"/>
      <c r="S8" s="1392"/>
      <c r="T8" s="1393"/>
    </row>
    <row r="9" spans="1:21" s="458" customFormat="1" ht="12.6" customHeight="1">
      <c r="B9" s="458" t="s">
        <v>671</v>
      </c>
      <c r="G9" s="1392">
        <v>4500</v>
      </c>
      <c r="H9" s="1393"/>
      <c r="J9" s="1392">
        <v>4500</v>
      </c>
      <c r="K9" s="1393"/>
      <c r="L9" s="732"/>
      <c r="M9" s="1392"/>
      <c r="N9" s="1393"/>
      <c r="P9" s="1392"/>
      <c r="Q9" s="1393"/>
      <c r="S9" s="1392"/>
      <c r="T9" s="1393"/>
    </row>
    <row r="10" spans="1:21" s="458" customFormat="1" ht="12.6" customHeight="1">
      <c r="B10" s="458" t="s">
        <v>717</v>
      </c>
      <c r="G10" s="1392">
        <v>4600</v>
      </c>
      <c r="H10" s="1393"/>
      <c r="J10" s="1392">
        <v>4600</v>
      </c>
      <c r="K10" s="1393"/>
      <c r="L10" s="732"/>
      <c r="M10" s="1392"/>
      <c r="N10" s="1393"/>
      <c r="P10" s="1392"/>
      <c r="Q10" s="1393"/>
      <c r="S10" s="1392"/>
      <c r="T10" s="1393"/>
    </row>
    <row r="11" spans="1:21" s="458" customFormat="1" ht="12.6" customHeight="1">
      <c r="B11" s="458" t="s">
        <v>718</v>
      </c>
      <c r="G11" s="1392">
        <v>4000</v>
      </c>
      <c r="H11" s="1393"/>
      <c r="J11" s="1392">
        <v>4000</v>
      </c>
      <c r="K11" s="1393"/>
      <c r="L11" s="732"/>
      <c r="M11" s="1392"/>
      <c r="N11" s="1393"/>
      <c r="P11" s="1392"/>
      <c r="Q11" s="1393"/>
      <c r="S11" s="1392"/>
      <c r="T11" s="1393"/>
    </row>
    <row r="12" spans="1:21" s="458" customFormat="1" ht="12.6" customHeight="1">
      <c r="B12" s="458" t="s">
        <v>3778</v>
      </c>
      <c r="G12" s="1392">
        <v>7500</v>
      </c>
      <c r="H12" s="1393"/>
      <c r="J12" s="1392">
        <v>7500</v>
      </c>
      <c r="K12" s="1393"/>
      <c r="L12" s="732"/>
      <c r="M12" s="1392"/>
      <c r="N12" s="1393"/>
      <c r="P12" s="1392"/>
      <c r="Q12" s="1393"/>
      <c r="S12" s="1392"/>
      <c r="T12" s="1393"/>
    </row>
    <row r="13" spans="1:21" s="458" customFormat="1" ht="12.6" customHeight="1">
      <c r="B13" s="458" t="s">
        <v>248</v>
      </c>
      <c r="G13" s="1392">
        <v>7750</v>
      </c>
      <c r="H13" s="1393"/>
      <c r="J13" s="1392">
        <v>7750</v>
      </c>
      <c r="K13" s="1393"/>
      <c r="L13" s="732"/>
      <c r="M13" s="1392"/>
      <c r="N13" s="1393"/>
      <c r="P13" s="1392"/>
      <c r="Q13" s="1393"/>
      <c r="S13" s="1392"/>
      <c r="T13" s="1393"/>
    </row>
    <row r="14" spans="1:21" s="458" customFormat="1" ht="12.6" customHeight="1">
      <c r="A14" s="562" t="str">
        <f>IF(AND(G14&gt;0,OR(C14="",C14="&lt;Enter detailed description here; use Comments section if needed&gt;")),"X","")</f>
        <v/>
      </c>
      <c r="B14" s="458" t="s">
        <v>1230</v>
      </c>
      <c r="C14" s="1394" t="s">
        <v>3973</v>
      </c>
      <c r="D14" s="1394"/>
      <c r="E14" s="1394"/>
      <c r="F14" s="1395"/>
      <c r="G14" s="1392"/>
      <c r="H14" s="1393"/>
      <c r="J14" s="1392"/>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4" t="s">
        <v>3974</v>
      </c>
      <c r="D15" s="1394"/>
      <c r="E15" s="1394"/>
      <c r="F15" s="1395"/>
      <c r="G15" s="1392">
        <v>2100</v>
      </c>
      <c r="H15" s="1393"/>
      <c r="J15" s="1392">
        <v>2100</v>
      </c>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4" t="s">
        <v>3975</v>
      </c>
      <c r="D16" s="1394"/>
      <c r="E16" s="1394"/>
      <c r="F16" s="1395"/>
      <c r="G16" s="1392">
        <v>700</v>
      </c>
      <c r="H16" s="1393"/>
      <c r="J16" s="1396">
        <v>700</v>
      </c>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36150</v>
      </c>
      <c r="H17" s="900"/>
      <c r="J17" s="899">
        <f>SUM(J8:K16)</f>
        <v>36150</v>
      </c>
      <c r="K17" s="947"/>
      <c r="L17" s="732"/>
      <c r="M17" s="899">
        <f>SUM(M8:N16)</f>
        <v>0</v>
      </c>
      <c r="N17" s="900"/>
      <c r="P17" s="899">
        <f>SUM(P8:Q16)</f>
        <v>0</v>
      </c>
      <c r="Q17" s="900"/>
      <c r="S17" s="899">
        <f>SUM(S8:T16)</f>
        <v>0</v>
      </c>
      <c r="T17" s="900"/>
    </row>
    <row r="18" spans="2:20" s="458" customFormat="1" ht="13.15" customHeight="1">
      <c r="B18" s="461" t="s">
        <v>3304</v>
      </c>
      <c r="J18" s="522"/>
      <c r="K18" s="522"/>
      <c r="M18" s="522"/>
      <c r="N18" s="522"/>
      <c r="O18" s="524" t="str">
        <f>B18</f>
        <v>ACQUISITION</v>
      </c>
      <c r="P18" s="522"/>
      <c r="Q18" s="522"/>
      <c r="S18" s="522"/>
      <c r="T18" s="522"/>
    </row>
    <row r="19" spans="2:20" s="458" customFormat="1" ht="12.6" customHeight="1">
      <c r="B19" s="458" t="s">
        <v>3305</v>
      </c>
      <c r="G19" s="1392">
        <v>540000</v>
      </c>
      <c r="H19" s="1393"/>
      <c r="J19" s="525"/>
      <c r="K19" s="522"/>
      <c r="L19" s="525"/>
      <c r="M19" s="525"/>
      <c r="N19" s="522"/>
      <c r="P19" s="525"/>
      <c r="Q19" s="522"/>
      <c r="S19" s="1392">
        <v>540000</v>
      </c>
      <c r="T19" s="1393"/>
    </row>
    <row r="20" spans="2:20" s="458" customFormat="1" ht="12.6" customHeight="1">
      <c r="B20" s="458" t="s">
        <v>1750</v>
      </c>
      <c r="G20" s="1392"/>
      <c r="H20" s="1393"/>
      <c r="J20" s="525"/>
      <c r="K20" s="522"/>
      <c r="L20" s="525"/>
      <c r="M20" s="525"/>
      <c r="N20" s="522"/>
      <c r="P20" s="525"/>
      <c r="Q20" s="522"/>
      <c r="S20" s="1392"/>
      <c r="T20" s="1393"/>
    </row>
    <row r="21" spans="2:20" s="458" customFormat="1" ht="12.6" customHeight="1">
      <c r="B21" s="458" t="s">
        <v>672</v>
      </c>
      <c r="G21" s="1392"/>
      <c r="H21" s="1393"/>
      <c r="J21" s="525"/>
      <c r="K21" s="522"/>
      <c r="L21" s="525"/>
      <c r="M21" s="1392"/>
      <c r="N21" s="1393"/>
      <c r="P21" s="525"/>
      <c r="Q21" s="522"/>
      <c r="S21" s="1392"/>
      <c r="T21" s="1393"/>
    </row>
    <row r="22" spans="2:20" s="458" customFormat="1" ht="12.6" customHeight="1" thickBot="1">
      <c r="B22" s="458" t="s">
        <v>637</v>
      </c>
      <c r="G22" s="1398"/>
      <c r="H22" s="1399"/>
      <c r="J22" s="525"/>
      <c r="K22" s="522"/>
      <c r="L22" s="525"/>
      <c r="M22" s="1398"/>
      <c r="N22" s="1399"/>
      <c r="P22" s="525"/>
      <c r="Q22" s="522"/>
      <c r="S22" s="1392"/>
      <c r="T22" s="1393"/>
    </row>
    <row r="23" spans="2:20" s="458" customFormat="1" ht="12.6" customHeight="1" thickTop="1">
      <c r="F23" s="523" t="s">
        <v>249</v>
      </c>
      <c r="G23" s="899">
        <f>SUM(G19:H22)</f>
        <v>540000</v>
      </c>
      <c r="H23" s="900"/>
      <c r="J23" s="525"/>
      <c r="K23" s="522"/>
      <c r="L23" s="525"/>
      <c r="M23" s="899">
        <f>SUM(M21:N22)</f>
        <v>0</v>
      </c>
      <c r="N23" s="900"/>
      <c r="P23" s="525"/>
      <c r="Q23" s="522"/>
      <c r="S23" s="899">
        <f>SUM(S19:T22)</f>
        <v>540000</v>
      </c>
      <c r="T23" s="900"/>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92">
        <v>792000</v>
      </c>
      <c r="H25" s="1393"/>
      <c r="J25" s="1396">
        <v>792000</v>
      </c>
      <c r="K25" s="1397"/>
      <c r="L25" s="732"/>
      <c r="M25" s="1396"/>
      <c r="N25" s="1397"/>
      <c r="P25" s="1396"/>
      <c r="Q25" s="1397"/>
      <c r="S25" s="1392"/>
      <c r="T25" s="1393"/>
    </row>
    <row r="26" spans="2:20" s="458" customFormat="1" ht="12.6" customHeight="1" thickBot="1">
      <c r="B26" s="458" t="s">
        <v>1753</v>
      </c>
      <c r="G26" s="1392"/>
      <c r="H26" s="1393"/>
      <c r="J26" s="1396"/>
      <c r="K26" s="1397"/>
      <c r="L26" s="526"/>
      <c r="M26" s="955"/>
      <c r="N26" s="955"/>
      <c r="P26" s="955"/>
      <c r="Q26" s="955"/>
      <c r="S26" s="1392"/>
      <c r="T26" s="1393"/>
    </row>
    <row r="27" spans="2:20" s="458" customFormat="1" ht="12.6" customHeight="1" thickTop="1">
      <c r="F27" s="523" t="s">
        <v>249</v>
      </c>
      <c r="G27" s="899">
        <f>SUM(G25:H26)</f>
        <v>792000</v>
      </c>
      <c r="H27" s="900"/>
      <c r="J27" s="899">
        <f>SUM(J25:K26)</f>
        <v>792000</v>
      </c>
      <c r="K27" s="900"/>
      <c r="L27" s="525"/>
      <c r="M27" s="899">
        <f>M25</f>
        <v>0</v>
      </c>
      <c r="N27" s="900"/>
      <c r="P27" s="899">
        <f>P25</f>
        <v>0</v>
      </c>
      <c r="Q27" s="900"/>
      <c r="S27" s="899">
        <f>SUM(S25:T26)</f>
        <v>0</v>
      </c>
      <c r="T27" s="900"/>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92">
        <v>2880000</v>
      </c>
      <c r="H29" s="1393"/>
      <c r="J29" s="1392">
        <v>2880000</v>
      </c>
      <c r="K29" s="1393"/>
      <c r="L29" s="732"/>
      <c r="M29" s="1392"/>
      <c r="N29" s="1393"/>
      <c r="P29" s="1392"/>
      <c r="Q29" s="1393"/>
      <c r="S29" s="1392"/>
      <c r="T29" s="1393"/>
    </row>
    <row r="30" spans="2:20" s="458" customFormat="1" ht="12.6" customHeight="1">
      <c r="B30" s="458" t="s">
        <v>1756</v>
      </c>
      <c r="G30" s="1392"/>
      <c r="H30" s="1393"/>
      <c r="J30" s="1392"/>
      <c r="K30" s="1393"/>
      <c r="L30" s="732"/>
      <c r="M30" s="1392"/>
      <c r="N30" s="1393"/>
      <c r="P30" s="1392"/>
      <c r="Q30" s="1393"/>
      <c r="S30" s="1392"/>
      <c r="T30" s="1393"/>
    </row>
    <row r="31" spans="2:20" ht="12.6" customHeight="1" thickBot="1">
      <c r="B31" s="458" t="s">
        <v>1757</v>
      </c>
      <c r="G31" s="1392">
        <v>125000</v>
      </c>
      <c r="H31" s="1393"/>
      <c r="I31" s="458"/>
      <c r="J31" s="1392">
        <v>125000</v>
      </c>
      <c r="K31" s="1393"/>
      <c r="L31" s="732"/>
      <c r="M31" s="1392"/>
      <c r="N31" s="1393"/>
      <c r="O31" s="458"/>
      <c r="P31" s="1392"/>
      <c r="Q31" s="1393"/>
      <c r="R31" s="458"/>
      <c r="S31" s="1392"/>
      <c r="T31" s="1393"/>
    </row>
    <row r="32" spans="2:20" s="458" customFormat="1" ht="12.6" customHeight="1" thickTop="1">
      <c r="C32" s="950"/>
      <c r="D32" s="950"/>
      <c r="E32" s="734"/>
      <c r="F32" s="523" t="s">
        <v>249</v>
      </c>
      <c r="G32" s="899">
        <f>SUM(G29:H31)</f>
        <v>3005000</v>
      </c>
      <c r="H32" s="900"/>
      <c r="J32" s="899">
        <f>SUM(J29:K31)</f>
        <v>3005000</v>
      </c>
      <c r="K32" s="900"/>
      <c r="L32" s="732"/>
      <c r="M32" s="899">
        <f>SUM(M29:N31)</f>
        <v>0</v>
      </c>
      <c r="N32" s="900"/>
      <c r="P32" s="899">
        <f>SUM(P29:Q31)</f>
        <v>0</v>
      </c>
      <c r="Q32" s="900"/>
      <c r="S32" s="899">
        <f>SUM(S29:T31)</f>
        <v>0</v>
      </c>
      <c r="T32" s="900"/>
    </row>
    <row r="33" spans="1:20" s="458" customFormat="1" ht="13.15" customHeight="1">
      <c r="B33" s="461" t="s">
        <v>3491</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227820</v>
      </c>
      <c r="G34" s="1392">
        <v>227820</v>
      </c>
      <c r="H34" s="1393"/>
      <c r="I34" s="482"/>
      <c r="J34" s="1392">
        <v>227820</v>
      </c>
      <c r="K34" s="1393"/>
      <c r="L34" s="732"/>
      <c r="M34" s="1392"/>
      <c r="N34" s="1393"/>
      <c r="P34" s="1392"/>
      <c r="Q34" s="1393"/>
      <c r="S34" s="1392"/>
      <c r="T34" s="1393"/>
    </row>
    <row r="35" spans="1:20" s="458" customFormat="1" ht="12.6" customHeight="1" thickBot="1">
      <c r="B35" s="458" t="s">
        <v>3128</v>
      </c>
      <c r="E35" s="619">
        <f>'DCA Underwriting Assumptions'!$R$39+'DCA Underwriting Assumptions'!$R$40</f>
        <v>0.08</v>
      </c>
      <c r="F35" s="620">
        <f>E35*($G$27+$G$32)</f>
        <v>303760</v>
      </c>
      <c r="G35" s="1392">
        <v>303760</v>
      </c>
      <c r="H35" s="1393"/>
      <c r="I35" s="482"/>
      <c r="J35" s="1392">
        <v>303760</v>
      </c>
      <c r="K35" s="1393"/>
      <c r="L35" s="732"/>
      <c r="M35" s="1392"/>
      <c r="N35" s="1393"/>
      <c r="P35" s="1392"/>
      <c r="Q35" s="1393"/>
      <c r="S35" s="1392"/>
      <c r="T35" s="1393"/>
    </row>
    <row r="36" spans="1:20" s="458" customFormat="1" ht="12.6" customHeight="1" thickTop="1">
      <c r="B36" s="458" t="s">
        <v>3129</v>
      </c>
      <c r="D36" s="530"/>
      <c r="E36" s="721"/>
      <c r="F36" s="621" t="s">
        <v>249</v>
      </c>
      <c r="G36" s="899">
        <f>SUM(G34:H35)</f>
        <v>531580</v>
      </c>
      <c r="H36" s="900"/>
      <c r="J36" s="899">
        <f>SUM(J34:K35)</f>
        <v>531580</v>
      </c>
      <c r="K36" s="900"/>
      <c r="L36" s="525"/>
      <c r="M36" s="899">
        <f>SUM(M34:N35)</f>
        <v>0</v>
      </c>
      <c r="N36" s="900"/>
      <c r="P36" s="899">
        <f>SUM(P34:Q35)</f>
        <v>0</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1760</v>
      </c>
      <c r="C38" s="532"/>
      <c r="D38" s="533">
        <f>B39/'Part VI-Revenues &amp; Expenses'!$M$63</f>
        <v>90178.75</v>
      </c>
      <c r="E38" s="533"/>
      <c r="F38" s="534" t="s">
        <v>2110</v>
      </c>
    </row>
    <row r="39" spans="1:20" s="458" customFormat="1" ht="12.6" customHeight="1">
      <c r="B39" s="951">
        <f>G27+G32+G36</f>
        <v>4328580</v>
      </c>
      <c r="C39" s="952"/>
      <c r="D39" s="535">
        <f>B39/'Part VI-Revenues &amp; Expenses'!$M$98</f>
        <v>91.070481800967812</v>
      </c>
      <c r="E39" s="535"/>
      <c r="F39" s="536" t="s">
        <v>1337</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3036</v>
      </c>
      <c r="F42" s="646">
        <f>G42/$B$39</f>
        <v>0.05</v>
      </c>
      <c r="G42" s="1392">
        <v>216429</v>
      </c>
      <c r="H42" s="1393"/>
      <c r="I42" s="458"/>
      <c r="J42" s="1392">
        <v>216429</v>
      </c>
      <c r="K42" s="1393"/>
      <c r="L42" s="732"/>
      <c r="M42" s="1392"/>
      <c r="N42" s="1393"/>
      <c r="O42" s="458"/>
      <c r="P42" s="1392"/>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950</v>
      </c>
      <c r="B45" s="461" t="s">
        <v>1494</v>
      </c>
      <c r="H45" s="721"/>
      <c r="I45" s="721"/>
      <c r="J45" s="895" t="s">
        <v>359</v>
      </c>
      <c r="K45" s="896"/>
      <c r="L45" s="522"/>
      <c r="M45" s="943" t="s">
        <v>720</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3494</v>
      </c>
      <c r="G48" s="1392">
        <v>55458</v>
      </c>
      <c r="H48" s="1393"/>
      <c r="J48" s="1392">
        <v>55458</v>
      </c>
      <c r="K48" s="1393"/>
      <c r="L48" s="732"/>
      <c r="M48" s="1392"/>
      <c r="N48" s="1393"/>
      <c r="P48" s="1392"/>
      <c r="Q48" s="1393"/>
      <c r="S48" s="1392"/>
      <c r="T48" s="1393"/>
    </row>
    <row r="49" spans="1:21" s="458" customFormat="1" ht="13.15" customHeight="1">
      <c r="B49" s="458" t="s">
        <v>3495</v>
      </c>
      <c r="G49" s="1392">
        <v>240000</v>
      </c>
      <c r="H49" s="1393"/>
      <c r="J49" s="1392">
        <v>240000</v>
      </c>
      <c r="K49" s="1393"/>
      <c r="L49" s="732"/>
      <c r="M49" s="1392"/>
      <c r="N49" s="1393"/>
      <c r="P49" s="1392"/>
      <c r="Q49" s="1393"/>
      <c r="S49" s="1392"/>
      <c r="T49" s="1393"/>
    </row>
    <row r="50" spans="1:21" s="458" customFormat="1" ht="13.15" customHeight="1">
      <c r="B50" s="458" t="s">
        <v>3496</v>
      </c>
      <c r="G50" s="1392">
        <v>25000</v>
      </c>
      <c r="H50" s="1393"/>
      <c r="J50" s="1392">
        <v>25000</v>
      </c>
      <c r="K50" s="1393"/>
      <c r="L50" s="732"/>
      <c r="M50" s="1392"/>
      <c r="N50" s="1393"/>
      <c r="P50" s="1392"/>
      <c r="Q50" s="1393"/>
      <c r="S50" s="1392"/>
      <c r="T50" s="1393"/>
    </row>
    <row r="51" spans="1:21" s="458" customFormat="1" ht="13.15" customHeight="1">
      <c r="B51" s="458" t="s">
        <v>1092</v>
      </c>
      <c r="G51" s="1392">
        <v>25000</v>
      </c>
      <c r="H51" s="1393"/>
      <c r="J51" s="1392">
        <v>20000</v>
      </c>
      <c r="K51" s="1393"/>
      <c r="L51" s="732"/>
      <c r="M51" s="1392"/>
      <c r="N51" s="1393"/>
      <c r="P51" s="1392"/>
      <c r="Q51" s="1393"/>
      <c r="S51" s="1392">
        <v>5000</v>
      </c>
      <c r="T51" s="1393"/>
    </row>
    <row r="52" spans="1:21" s="458" customFormat="1" ht="13.15" customHeight="1">
      <c r="B52" s="458" t="s">
        <v>3497</v>
      </c>
      <c r="G52" s="1392">
        <v>13800</v>
      </c>
      <c r="H52" s="1393"/>
      <c r="J52" s="1392">
        <v>13800</v>
      </c>
      <c r="K52" s="1393"/>
      <c r="L52" s="732"/>
      <c r="M52" s="1392"/>
      <c r="N52" s="1393"/>
      <c r="P52" s="1392"/>
      <c r="Q52" s="1393"/>
      <c r="S52" s="1392"/>
      <c r="T52" s="1393"/>
    </row>
    <row r="53" spans="1:21" s="458" customFormat="1" ht="13.15" customHeight="1">
      <c r="B53" s="458" t="s">
        <v>371</v>
      </c>
      <c r="G53" s="1392"/>
      <c r="H53" s="1393"/>
      <c r="J53" s="1392"/>
      <c r="K53" s="1393"/>
      <c r="L53" s="732"/>
      <c r="M53" s="1392"/>
      <c r="N53" s="1393"/>
      <c r="P53" s="1392"/>
      <c r="Q53" s="1393"/>
      <c r="S53" s="1392"/>
      <c r="T53" s="1393"/>
    </row>
    <row r="54" spans="1:21" s="458" customFormat="1" ht="12.6" customHeight="1">
      <c r="B54" s="529" t="s">
        <v>1795</v>
      </c>
      <c r="D54" s="527"/>
      <c r="E54" s="527"/>
      <c r="F54" s="528"/>
      <c r="G54" s="1392">
        <v>43300</v>
      </c>
      <c r="H54" s="1393"/>
      <c r="I54" s="482"/>
      <c r="J54" s="1392">
        <v>43300</v>
      </c>
      <c r="K54" s="1393"/>
      <c r="L54" s="732"/>
      <c r="M54" s="1392"/>
      <c r="N54" s="1393"/>
      <c r="P54" s="1392"/>
      <c r="Q54" s="1393"/>
      <c r="S54" s="1392"/>
      <c r="T54" s="1393"/>
    </row>
    <row r="55" spans="1:21" s="458" customFormat="1" ht="13.15" customHeight="1" thickBot="1">
      <c r="A55" s="562" t="str">
        <f>IF(AND(G55&gt;0,OR(C55="",C55="&lt;Enter detailed description here; use Comments section if needed&gt;")),"X","")</f>
        <v/>
      </c>
      <c r="B55" s="458" t="s">
        <v>1230</v>
      </c>
      <c r="C55" s="1394" t="s">
        <v>3976</v>
      </c>
      <c r="D55" s="1394"/>
      <c r="E55" s="1394"/>
      <c r="F55" s="1395"/>
      <c r="G55" s="1398">
        <v>15000</v>
      </c>
      <c r="H55" s="1399"/>
      <c r="J55" s="1398">
        <v>15000</v>
      </c>
      <c r="K55" s="1399"/>
      <c r="L55" s="732"/>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417558</v>
      </c>
      <c r="H56" s="900"/>
      <c r="J56" s="899">
        <f>SUM(J48:K55)</f>
        <v>412558</v>
      </c>
      <c r="K56" s="900"/>
      <c r="L56" s="525"/>
      <c r="M56" s="899">
        <f>SUM(M48:N55)</f>
        <v>0</v>
      </c>
      <c r="N56" s="900"/>
      <c r="P56" s="899">
        <f>SUM(P48:Q55)</f>
        <v>0</v>
      </c>
      <c r="Q56" s="900"/>
      <c r="S56" s="899">
        <f>SUM(S48:T55)</f>
        <v>5000</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2">
        <v>75000</v>
      </c>
      <c r="H58" s="1393"/>
      <c r="J58" s="1392">
        <v>75000</v>
      </c>
      <c r="K58" s="1393"/>
      <c r="L58" s="732"/>
      <c r="M58" s="1392"/>
      <c r="N58" s="1393"/>
      <c r="P58" s="1392"/>
      <c r="Q58" s="1393"/>
      <c r="S58" s="1392"/>
      <c r="T58" s="1393"/>
    </row>
    <row r="59" spans="1:21" s="458" customFormat="1" ht="13.15" customHeight="1">
      <c r="B59" s="458" t="s">
        <v>706</v>
      </c>
      <c r="G59" s="1392">
        <v>5000</v>
      </c>
      <c r="H59" s="1393"/>
      <c r="J59" s="1392">
        <v>5000</v>
      </c>
      <c r="K59" s="1393"/>
      <c r="L59" s="732"/>
      <c r="M59" s="1392"/>
      <c r="N59" s="1393"/>
      <c r="P59" s="1392"/>
      <c r="Q59" s="1393"/>
      <c r="S59" s="1392"/>
      <c r="T59" s="1393"/>
    </row>
    <row r="60" spans="1:21" s="458" customFormat="1" ht="13.15" customHeight="1">
      <c r="B60" s="458" t="s">
        <v>1761</v>
      </c>
      <c r="G60" s="1392">
        <v>25000</v>
      </c>
      <c r="H60" s="1393"/>
      <c r="J60" s="1392">
        <v>25000</v>
      </c>
      <c r="K60" s="1393"/>
      <c r="L60" s="732"/>
      <c r="M60" s="1392"/>
      <c r="N60" s="1393"/>
      <c r="P60" s="1392"/>
      <c r="Q60" s="1393"/>
      <c r="S60" s="1392"/>
      <c r="T60" s="1393"/>
    </row>
    <row r="61" spans="1:21" s="458" customFormat="1" ht="13.15" customHeight="1">
      <c r="B61" s="458" t="s">
        <v>1762</v>
      </c>
      <c r="G61" s="1392"/>
      <c r="H61" s="1393"/>
      <c r="J61" s="1392"/>
      <c r="K61" s="1393"/>
      <c r="L61" s="732"/>
      <c r="M61" s="1392"/>
      <c r="N61" s="1393"/>
      <c r="P61" s="1392"/>
      <c r="Q61" s="1393"/>
      <c r="S61" s="1392"/>
      <c r="T61" s="1393"/>
    </row>
    <row r="62" spans="1:21" s="458" customFormat="1" ht="13.15" customHeight="1">
      <c r="B62" s="458" t="s">
        <v>1763</v>
      </c>
      <c r="G62" s="1392"/>
      <c r="H62" s="1393"/>
      <c r="J62" s="1392"/>
      <c r="K62" s="1393"/>
      <c r="L62" s="732"/>
      <c r="M62" s="1392"/>
      <c r="N62" s="1393"/>
      <c r="P62" s="1392"/>
      <c r="Q62" s="1393"/>
      <c r="S62" s="1392"/>
      <c r="T62" s="1393"/>
    </row>
    <row r="63" spans="1:21" s="458" customFormat="1" ht="13.15" customHeight="1">
      <c r="B63" s="458" t="s">
        <v>1764</v>
      </c>
      <c r="G63" s="1392"/>
      <c r="H63" s="1393"/>
      <c r="J63" s="1392"/>
      <c r="K63" s="1393"/>
      <c r="L63" s="732"/>
      <c r="M63" s="1392"/>
      <c r="N63" s="1393"/>
      <c r="P63" s="1392"/>
      <c r="Q63" s="1393"/>
      <c r="S63" s="1392"/>
      <c r="T63" s="1393"/>
    </row>
    <row r="64" spans="1:21" s="458" customFormat="1" ht="13.15" customHeight="1">
      <c r="B64" s="458" t="s">
        <v>707</v>
      </c>
      <c r="G64" s="1392">
        <v>61200</v>
      </c>
      <c r="H64" s="1393"/>
      <c r="J64" s="1392">
        <v>61200</v>
      </c>
      <c r="K64" s="1393"/>
      <c r="L64" s="732"/>
      <c r="M64" s="1392"/>
      <c r="N64" s="1393"/>
      <c r="P64" s="1392"/>
      <c r="Q64" s="1393"/>
      <c r="S64" s="1392"/>
      <c r="T64" s="1393"/>
    </row>
    <row r="65" spans="1:21" s="458" customFormat="1" ht="13.15" customHeight="1">
      <c r="B65" s="458" t="s">
        <v>708</v>
      </c>
      <c r="G65" s="1392">
        <v>20000</v>
      </c>
      <c r="H65" s="1393"/>
      <c r="J65" s="1392">
        <v>20000</v>
      </c>
      <c r="K65" s="1393"/>
      <c r="L65" s="732"/>
      <c r="M65" s="1392"/>
      <c r="N65" s="1393"/>
      <c r="P65" s="1392"/>
      <c r="Q65" s="1393"/>
      <c r="S65" s="1392"/>
      <c r="T65" s="1393"/>
    </row>
    <row r="66" spans="1:21" s="458" customFormat="1" ht="13.15" customHeight="1">
      <c r="B66" s="458" t="s">
        <v>3139</v>
      </c>
      <c r="G66" s="1392">
        <v>20000</v>
      </c>
      <c r="H66" s="1393"/>
      <c r="J66" s="1392">
        <v>20000</v>
      </c>
      <c r="K66" s="1393"/>
      <c r="L66" s="732"/>
      <c r="M66" s="1392"/>
      <c r="N66" s="1393"/>
      <c r="P66" s="1392"/>
      <c r="Q66" s="1393"/>
      <c r="S66" s="1392"/>
      <c r="T66" s="1393"/>
    </row>
    <row r="67" spans="1:21" s="458" customFormat="1" ht="13.15" customHeight="1" thickBot="1">
      <c r="A67" s="562" t="str">
        <f>IF(AND(G67&gt;0,OR(C67="",C67="&lt;Enter detailed description here; use Comments section if needed&gt;")),"X","")</f>
        <v/>
      </c>
      <c r="B67" s="458" t="s">
        <v>1230</v>
      </c>
      <c r="C67" s="1394" t="s">
        <v>3658</v>
      </c>
      <c r="D67" s="1394"/>
      <c r="E67" s="1394"/>
      <c r="F67" s="1395"/>
      <c r="G67" s="1392"/>
      <c r="H67" s="1393"/>
      <c r="J67" s="1392"/>
      <c r="K67" s="1393"/>
      <c r="L67" s="732"/>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206200</v>
      </c>
      <c r="H68" s="900"/>
      <c r="J68" s="899">
        <f>SUM(J58:K67)</f>
        <v>206200</v>
      </c>
      <c r="K68" s="900"/>
      <c r="L68" s="525"/>
      <c r="M68" s="899">
        <f>SUM(M58:N67)</f>
        <v>0</v>
      </c>
      <c r="N68" s="900"/>
      <c r="P68" s="899">
        <f>SUM(P58:Q67)</f>
        <v>0</v>
      </c>
      <c r="Q68" s="900"/>
      <c r="S68" s="899">
        <f>SUM(S58:T67)</f>
        <v>0</v>
      </c>
      <c r="T68" s="900"/>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92">
        <v>12000</v>
      </c>
      <c r="H70" s="1393"/>
      <c r="J70" s="1392">
        <v>12000</v>
      </c>
      <c r="K70" s="1393"/>
      <c r="L70" s="732"/>
      <c r="M70" s="1392"/>
      <c r="N70" s="1393"/>
      <c r="P70" s="1392"/>
      <c r="Q70" s="1393"/>
      <c r="S70" s="1392"/>
      <c r="T70" s="1393"/>
    </row>
    <row r="71" spans="1:21" s="458" customFormat="1" ht="13.15" customHeight="1">
      <c r="B71" s="458" t="s">
        <v>1955</v>
      </c>
      <c r="G71" s="1392"/>
      <c r="H71" s="1393"/>
      <c r="J71" s="1392"/>
      <c r="K71" s="1393"/>
      <c r="L71" s="732"/>
      <c r="M71" s="1392"/>
      <c r="N71" s="1393"/>
      <c r="P71" s="1392"/>
      <c r="Q71" s="1393"/>
      <c r="S71" s="1392"/>
      <c r="T71" s="1393"/>
    </row>
    <row r="72" spans="1:21" s="458" customFormat="1" ht="13.15" customHeight="1">
      <c r="B72" s="458" t="s">
        <v>1956</v>
      </c>
      <c r="D72" s="539" t="s">
        <v>2111</v>
      </c>
      <c r="E72" s="1400" t="s">
        <v>3919</v>
      </c>
      <c r="G72" s="1392">
        <v>73875</v>
      </c>
      <c r="H72" s="1393"/>
      <c r="I72" s="482"/>
      <c r="J72" s="1392">
        <v>73875</v>
      </c>
      <c r="K72" s="1393"/>
      <c r="L72" s="732"/>
      <c r="M72" s="1392"/>
      <c r="N72" s="1393"/>
      <c r="P72" s="1392"/>
      <c r="Q72" s="1393"/>
      <c r="S72" s="1392"/>
      <c r="T72" s="1393"/>
    </row>
    <row r="73" spans="1:21" s="458" customFormat="1" ht="13.15" customHeight="1" thickBot="1">
      <c r="B73" s="458" t="s">
        <v>1957</v>
      </c>
      <c r="D73" s="539" t="s">
        <v>2111</v>
      </c>
      <c r="E73" s="1400" t="s">
        <v>3919</v>
      </c>
      <c r="G73" s="1392">
        <v>123125</v>
      </c>
      <c r="H73" s="1393"/>
      <c r="I73" s="482"/>
      <c r="J73" s="1392">
        <v>123125</v>
      </c>
      <c r="K73" s="1393"/>
      <c r="L73" s="732"/>
      <c r="M73" s="1392"/>
      <c r="N73" s="1393"/>
      <c r="P73" s="1392"/>
      <c r="Q73" s="1393"/>
      <c r="S73" s="1392"/>
      <c r="T73" s="1393"/>
    </row>
    <row r="74" spans="1:21" s="458" customFormat="1" ht="13.15" customHeight="1" thickTop="1">
      <c r="F74" s="523" t="s">
        <v>249</v>
      </c>
      <c r="G74" s="899">
        <f>SUM(G70:H73)</f>
        <v>209000</v>
      </c>
      <c r="H74" s="900"/>
      <c r="J74" s="899">
        <f>SUM(J70:K73)</f>
        <v>209000</v>
      </c>
      <c r="K74" s="900"/>
      <c r="L74" s="525"/>
      <c r="M74" s="899">
        <f>SUM(M70:N73)</f>
        <v>0</v>
      </c>
      <c r="N74" s="900"/>
      <c r="P74" s="899">
        <f>SUM(P70:Q73)</f>
        <v>0</v>
      </c>
      <c r="Q74" s="900"/>
      <c r="S74" s="899">
        <f>SUM(S70:T73)</f>
        <v>0</v>
      </c>
      <c r="T74" s="900"/>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92">
        <v>15000</v>
      </c>
      <c r="H76" s="1393"/>
      <c r="J76" s="936"/>
      <c r="K76" s="936"/>
      <c r="L76" s="732"/>
      <c r="M76" s="936"/>
      <c r="N76" s="936"/>
      <c r="P76" s="936"/>
      <c r="Q76" s="936"/>
      <c r="S76" s="1392">
        <v>15000</v>
      </c>
      <c r="T76" s="1393"/>
    </row>
    <row r="77" spans="1:21" s="458" customFormat="1" ht="13.15" customHeight="1">
      <c r="B77" s="458" t="s">
        <v>1959</v>
      </c>
      <c r="G77" s="1392">
        <v>10000</v>
      </c>
      <c r="H77" s="1393"/>
      <c r="J77" s="901"/>
      <c r="K77" s="901"/>
      <c r="L77" s="732"/>
      <c r="M77" s="901"/>
      <c r="N77" s="901"/>
      <c r="P77" s="901"/>
      <c r="Q77" s="901"/>
      <c r="S77" s="1392">
        <v>10000</v>
      </c>
      <c r="T77" s="1393"/>
    </row>
    <row r="78" spans="1:21" s="458" customFormat="1" ht="13.15" customHeight="1">
      <c r="B78" s="458" t="s">
        <v>1960</v>
      </c>
      <c r="G78" s="1392">
        <v>5000</v>
      </c>
      <c r="H78" s="1393"/>
      <c r="J78" s="1392"/>
      <c r="K78" s="1393"/>
      <c r="L78" s="732"/>
      <c r="M78" s="1392"/>
      <c r="N78" s="1393"/>
      <c r="P78" s="1392"/>
      <c r="Q78" s="1393"/>
      <c r="S78" s="1392">
        <v>5000</v>
      </c>
      <c r="T78" s="1393"/>
    </row>
    <row r="79" spans="1:21" s="458" customFormat="1" ht="13.15" customHeight="1">
      <c r="B79" s="458" t="s">
        <v>1961</v>
      </c>
      <c r="G79" s="1392"/>
      <c r="H79" s="1393"/>
      <c r="J79" s="1392"/>
      <c r="K79" s="1393"/>
      <c r="L79" s="732"/>
      <c r="M79" s="1392"/>
      <c r="N79" s="1393"/>
      <c r="P79" s="1392"/>
      <c r="Q79" s="1393"/>
      <c r="S79" s="1392"/>
      <c r="T79" s="1393"/>
    </row>
    <row r="80" spans="1:21" s="458" customFormat="1" ht="13.15" customHeight="1">
      <c r="B80" s="458" t="s">
        <v>1962</v>
      </c>
      <c r="G80" s="1392"/>
      <c r="H80" s="1393"/>
      <c r="J80" s="1392"/>
      <c r="K80" s="1393"/>
      <c r="L80" s="732"/>
      <c r="M80" s="1392"/>
      <c r="N80" s="1393"/>
      <c r="P80" s="1392"/>
      <c r="Q80" s="1393"/>
      <c r="S80" s="1392"/>
      <c r="T80" s="1393"/>
    </row>
    <row r="81" spans="1:21" s="458" customFormat="1" ht="13.15" customHeight="1">
      <c r="B81" s="458" t="s">
        <v>3437</v>
      </c>
      <c r="G81" s="1392"/>
      <c r="H81" s="1393"/>
      <c r="J81" s="1392"/>
      <c r="K81" s="1393"/>
      <c r="L81" s="732"/>
      <c r="M81" s="1392"/>
      <c r="N81" s="1393"/>
      <c r="P81" s="1392"/>
      <c r="Q81" s="1393"/>
      <c r="S81" s="1392"/>
      <c r="T81" s="1393"/>
    </row>
    <row r="82" spans="1:21" s="458" customFormat="1" ht="13.15" customHeight="1" thickBot="1">
      <c r="A82" s="562" t="str">
        <f>IF(AND(G82&gt;0,OR(C82="",C82="&lt;Enter detailed description here; use Comments section if needed&gt;")),"X","")</f>
        <v/>
      </c>
      <c r="B82" s="458" t="s">
        <v>1230</v>
      </c>
      <c r="C82" s="1394" t="s">
        <v>3658</v>
      </c>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30000</v>
      </c>
      <c r="H83" s="900"/>
      <c r="J83" s="899">
        <f>SUM(J78:K82)</f>
        <v>0</v>
      </c>
      <c r="K83" s="900"/>
      <c r="L83" s="525"/>
      <c r="M83" s="899">
        <f>SUM(M78:N82)</f>
        <v>0</v>
      </c>
      <c r="N83" s="900"/>
      <c r="P83" s="899">
        <f>SUM(P78:Q82)</f>
        <v>0</v>
      </c>
      <c r="Q83" s="900"/>
      <c r="S83" s="899">
        <f>SUM(S76:T82)</f>
        <v>30000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950</v>
      </c>
      <c r="B86" s="461" t="s">
        <v>1494</v>
      </c>
      <c r="H86" s="721"/>
      <c r="I86" s="721"/>
      <c r="J86" s="895" t="s">
        <v>359</v>
      </c>
      <c r="K86" s="896"/>
      <c r="L86" s="522"/>
      <c r="M86" s="943" t="s">
        <v>720</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92"/>
      <c r="H89" s="1393"/>
      <c r="J89" s="525"/>
      <c r="K89" s="525"/>
      <c r="L89" s="732"/>
      <c r="M89" s="525"/>
      <c r="N89" s="525"/>
      <c r="P89" s="525"/>
      <c r="Q89" s="525"/>
      <c r="S89" s="1392"/>
      <c r="T89" s="1393"/>
    </row>
    <row r="90" spans="1:21" s="458" customFormat="1" ht="12.6" customHeight="1">
      <c r="B90" s="458" t="s">
        <v>1858</v>
      </c>
      <c r="G90" s="1392">
        <v>4000</v>
      </c>
      <c r="H90" s="1393"/>
      <c r="J90" s="525"/>
      <c r="K90" s="525"/>
      <c r="L90" s="540"/>
      <c r="M90" s="525"/>
      <c r="N90" s="525"/>
      <c r="P90" s="525"/>
      <c r="Q90" s="525"/>
      <c r="S90" s="1392">
        <v>4000</v>
      </c>
      <c r="T90" s="1393"/>
    </row>
    <row r="91" spans="1:21" s="458" customFormat="1" ht="12.6" customHeight="1">
      <c r="B91" s="458" t="s">
        <v>2747</v>
      </c>
      <c r="G91" s="1392"/>
      <c r="H91" s="1393"/>
      <c r="J91" s="525"/>
      <c r="K91" s="525"/>
      <c r="L91" s="540"/>
      <c r="M91" s="525"/>
      <c r="N91" s="525"/>
      <c r="O91" s="721"/>
      <c r="P91" s="525"/>
      <c r="Q91" s="525"/>
      <c r="S91" s="1392"/>
      <c r="T91" s="1393"/>
    </row>
    <row r="92" spans="1:21" s="458" customFormat="1" ht="12.6" customHeight="1">
      <c r="B92" s="458" t="s">
        <v>811</v>
      </c>
      <c r="E92" s="953">
        <f>'DCA Underwriting Assumptions'!$Q$41*$J$165</f>
        <v>39652.811099999999</v>
      </c>
      <c r="F92" s="954"/>
      <c r="G92" s="1392">
        <v>39653</v>
      </c>
      <c r="H92" s="1393"/>
      <c r="J92" s="525"/>
      <c r="K92" s="525"/>
      <c r="L92" s="732"/>
      <c r="M92" s="525"/>
      <c r="N92" s="525"/>
      <c r="O92" s="721"/>
      <c r="P92" s="525"/>
      <c r="Q92" s="525"/>
      <c r="S92" s="1392">
        <v>39653</v>
      </c>
      <c r="T92" s="1393"/>
    </row>
    <row r="93" spans="1:21" s="458" customFormat="1" ht="12.6" customHeight="1">
      <c r="B93" s="458" t="s">
        <v>1244</v>
      </c>
      <c r="E93" s="953">
        <f>'Part VI-Revenues &amp; Expenses'!$M$63*'DCA Underwriting Assumptions'!$Q$44</f>
        <v>33600</v>
      </c>
      <c r="F93" s="954"/>
      <c r="G93" s="1392">
        <v>33600</v>
      </c>
      <c r="H93" s="1393"/>
      <c r="J93" s="418"/>
      <c r="K93" s="418"/>
      <c r="L93" s="418"/>
      <c r="M93" s="418"/>
      <c r="N93" s="418"/>
      <c r="O93" s="418"/>
      <c r="P93" s="418"/>
      <c r="Q93" s="418"/>
      <c r="S93" s="1392">
        <v>33600</v>
      </c>
      <c r="T93" s="1393"/>
    </row>
    <row r="94" spans="1:21" s="458" customFormat="1" ht="12.6" customHeight="1">
      <c r="B94" s="458" t="s">
        <v>715</v>
      </c>
      <c r="G94" s="1392">
        <v>2700</v>
      </c>
      <c r="H94" s="1393"/>
      <c r="J94" s="418"/>
      <c r="K94" s="418"/>
      <c r="L94" s="418"/>
      <c r="M94" s="418"/>
      <c r="N94" s="418"/>
      <c r="O94" s="418"/>
      <c r="P94" s="418"/>
      <c r="Q94" s="418"/>
      <c r="S94" s="1392">
        <v>2700</v>
      </c>
      <c r="T94" s="1393"/>
    </row>
    <row r="95" spans="1:21" s="458" customFormat="1" ht="12.6" customHeight="1">
      <c r="B95" s="458" t="s">
        <v>3551</v>
      </c>
      <c r="G95" s="1392">
        <v>3000</v>
      </c>
      <c r="H95" s="1393"/>
      <c r="J95" s="418"/>
      <c r="K95" s="418"/>
      <c r="L95" s="418"/>
      <c r="M95" s="418"/>
      <c r="N95" s="418"/>
      <c r="O95" s="418"/>
      <c r="P95" s="418"/>
      <c r="Q95" s="418"/>
      <c r="S95" s="1392">
        <v>3000</v>
      </c>
      <c r="T95" s="1393"/>
    </row>
    <row r="96" spans="1:21" s="458" customFormat="1" ht="12.6" customHeight="1">
      <c r="A96" s="562" t="str">
        <f>IF(AND(G96&gt;0,OR(C96="",C96="&lt;Enter detailed description here; use Comments section if needed&gt;")),"X","")</f>
        <v/>
      </c>
      <c r="B96" s="458" t="s">
        <v>1230</v>
      </c>
      <c r="C96" s="1394" t="s">
        <v>3658</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4" t="s">
        <v>3658</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82953</v>
      </c>
      <c r="H98" s="900"/>
      <c r="J98" s="525"/>
      <c r="K98" s="525"/>
      <c r="L98" s="732"/>
      <c r="M98" s="525"/>
      <c r="N98" s="525"/>
      <c r="P98" s="525"/>
      <c r="Q98" s="525"/>
      <c r="S98" s="899">
        <f>SUM(S89:T97)</f>
        <v>82953</v>
      </c>
      <c r="T98" s="900"/>
    </row>
    <row r="99" spans="1:21" s="458" customFormat="1" ht="13.15" customHeight="1">
      <c r="B99" s="461" t="s">
        <v>3438</v>
      </c>
      <c r="J99" s="525"/>
      <c r="K99" s="525"/>
      <c r="M99" s="525"/>
      <c r="N99" s="525"/>
      <c r="O99" s="524" t="str">
        <f>B99</f>
        <v>EQUITY COSTS</v>
      </c>
      <c r="P99" s="525"/>
      <c r="Q99" s="525"/>
      <c r="S99" s="525"/>
      <c r="T99" s="525"/>
    </row>
    <row r="100" spans="1:21" s="458" customFormat="1" ht="12.6" customHeight="1">
      <c r="B100" s="458" t="s">
        <v>370</v>
      </c>
      <c r="G100" s="1392">
        <v>35000</v>
      </c>
      <c r="H100" s="1393"/>
      <c r="J100" s="936"/>
      <c r="K100" s="936"/>
      <c r="L100" s="732"/>
      <c r="M100" s="936"/>
      <c r="N100" s="936"/>
      <c r="O100" s="721"/>
      <c r="P100" s="936"/>
      <c r="Q100" s="936"/>
      <c r="S100" s="1392">
        <v>35000</v>
      </c>
      <c r="T100" s="1393"/>
    </row>
    <row r="101" spans="1:21" s="458" customFormat="1" ht="12.6" customHeight="1">
      <c r="B101" s="458" t="s">
        <v>372</v>
      </c>
      <c r="G101" s="1392"/>
      <c r="H101" s="1393"/>
      <c r="J101" s="936"/>
      <c r="K101" s="936"/>
      <c r="L101" s="732"/>
      <c r="M101" s="936"/>
      <c r="N101" s="936"/>
      <c r="O101" s="721"/>
      <c r="P101" s="936"/>
      <c r="Q101" s="936"/>
      <c r="S101" s="1392"/>
      <c r="T101" s="1393"/>
    </row>
    <row r="102" spans="1:21" s="458" customFormat="1" ht="12.6" customHeight="1">
      <c r="B102" s="458" t="s">
        <v>3613</v>
      </c>
      <c r="G102" s="1392"/>
      <c r="H102" s="1393"/>
      <c r="J102" s="936"/>
      <c r="K102" s="936"/>
      <c r="L102" s="732"/>
      <c r="M102" s="936"/>
      <c r="N102" s="936"/>
      <c r="O102" s="721"/>
      <c r="P102" s="936"/>
      <c r="Q102" s="936"/>
      <c r="S102" s="1392"/>
      <c r="T102" s="1393"/>
    </row>
    <row r="103" spans="1:21" s="458" customFormat="1" ht="12.6" customHeight="1" thickBot="1">
      <c r="A103" s="562" t="str">
        <f>IF(AND(G103&gt;0,OR(C103="",C103="&lt;Enter detailed description here; use Comments section if needed&gt;")),"X","")</f>
        <v/>
      </c>
      <c r="B103" s="458" t="s">
        <v>1230</v>
      </c>
      <c r="C103" s="1394" t="s">
        <v>3658</v>
      </c>
      <c r="D103" s="1394"/>
      <c r="E103" s="1394"/>
      <c r="F103" s="1395"/>
      <c r="G103" s="1392"/>
      <c r="H103" s="1393"/>
      <c r="J103" s="936"/>
      <c r="K103" s="936"/>
      <c r="L103" s="732"/>
      <c r="M103" s="936"/>
      <c r="N103" s="936"/>
      <c r="O103" s="721"/>
      <c r="P103" s="936"/>
      <c r="Q103" s="936"/>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35000</v>
      </c>
      <c r="H104" s="900"/>
      <c r="J104" s="936"/>
      <c r="K104" s="936"/>
      <c r="L104" s="732"/>
      <c r="M104" s="936"/>
      <c r="N104" s="936"/>
      <c r="O104" s="721"/>
      <c r="P104" s="936"/>
      <c r="Q104" s="936"/>
      <c r="S104" s="899">
        <f>SUM(S100:T103)</f>
        <v>35000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2913</v>
      </c>
      <c r="F106" s="647">
        <f>G106/$G$109</f>
        <v>1</v>
      </c>
      <c r="G106" s="1392">
        <v>835180</v>
      </c>
      <c r="H106" s="1393"/>
      <c r="J106" s="1392">
        <v>835180</v>
      </c>
      <c r="K106" s="1393"/>
      <c r="L106" s="524"/>
      <c r="M106" s="1392"/>
      <c r="N106" s="1393"/>
      <c r="P106" s="1392"/>
      <c r="Q106" s="1393"/>
      <c r="S106" s="1392"/>
      <c r="T106" s="1393"/>
    </row>
    <row r="107" spans="1:21" s="458" customFormat="1" ht="12.6" customHeight="1">
      <c r="B107" s="458" t="s">
        <v>2914</v>
      </c>
      <c r="F107" s="647">
        <f>G107/$G$109</f>
        <v>0</v>
      </c>
      <c r="G107" s="1392"/>
      <c r="H107" s="1393"/>
      <c r="J107" s="1392"/>
      <c r="K107" s="1393"/>
      <c r="L107" s="732"/>
      <c r="M107" s="1392"/>
      <c r="N107" s="1393"/>
      <c r="P107" s="1392"/>
      <c r="Q107" s="1393"/>
      <c r="S107" s="1392"/>
      <c r="T107" s="1393"/>
    </row>
    <row r="108" spans="1:21" s="458" customFormat="1" ht="12.6" customHeight="1" thickBot="1">
      <c r="B108" s="458" t="s">
        <v>2906</v>
      </c>
      <c r="F108" s="647">
        <f>G108/$G$109</f>
        <v>0</v>
      </c>
      <c r="G108" s="1392"/>
      <c r="H108" s="1393"/>
      <c r="J108" s="1392"/>
      <c r="K108" s="1393"/>
      <c r="L108" s="732"/>
      <c r="M108" s="1392"/>
      <c r="N108" s="1393"/>
      <c r="P108" s="1392"/>
      <c r="Q108" s="1393"/>
      <c r="S108" s="1392"/>
      <c r="T108" s="1393"/>
    </row>
    <row r="109" spans="1:21" s="458" customFormat="1" ht="12.6" customHeight="1" thickTop="1">
      <c r="C109" s="561" t="str">
        <f>IF(G109&lt;='DCA Underwriting Assumptions'!$Q$46,"","Developer Fee exceeds DCA Program Maximum !!!")</f>
        <v/>
      </c>
      <c r="F109" s="523" t="s">
        <v>249</v>
      </c>
      <c r="G109" s="899">
        <f>SUM(G106:H108)</f>
        <v>835180</v>
      </c>
      <c r="H109" s="900"/>
      <c r="J109" s="899">
        <f>SUM(J106:K108)</f>
        <v>835180</v>
      </c>
      <c r="K109" s="900"/>
      <c r="L109" s="732"/>
      <c r="M109" s="899">
        <f>SUM(M106:N108)</f>
        <v>0</v>
      </c>
      <c r="N109" s="900"/>
      <c r="P109" s="899">
        <f>SUM(P106:Q108)</f>
        <v>0</v>
      </c>
      <c r="Q109" s="900"/>
      <c r="S109" s="899">
        <f>SUM(S106:T108)</f>
        <v>0</v>
      </c>
      <c r="T109" s="900"/>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2"/>
      <c r="H111" s="1393"/>
      <c r="J111" s="541"/>
      <c r="K111" s="541"/>
      <c r="L111" s="541"/>
      <c r="M111" s="541"/>
      <c r="N111" s="541"/>
      <c r="P111" s="541"/>
      <c r="Q111" s="541"/>
      <c r="S111" s="1392"/>
      <c r="T111" s="1393"/>
    </row>
    <row r="112" spans="1:21" s="458" customFormat="1" ht="12.6" customHeight="1">
      <c r="B112" s="458" t="s">
        <v>2287</v>
      </c>
      <c r="G112" s="1392">
        <v>48125</v>
      </c>
      <c r="H112" s="1393"/>
      <c r="J112" s="936"/>
      <c r="K112" s="936"/>
      <c r="L112" s="732"/>
      <c r="M112" s="936"/>
      <c r="N112" s="936"/>
      <c r="O112" s="721"/>
      <c r="P112" s="936"/>
      <c r="Q112" s="936"/>
      <c r="R112" s="721"/>
      <c r="S112" s="1392">
        <v>48125</v>
      </c>
      <c r="T112" s="1393"/>
    </row>
    <row r="113" spans="1:21" s="458" customFormat="1" ht="12.6" customHeight="1">
      <c r="B113" s="458" t="s">
        <v>1028</v>
      </c>
      <c r="F113" s="482"/>
      <c r="G113" s="1392">
        <v>135689</v>
      </c>
      <c r="H113" s="1393"/>
      <c r="J113" s="540"/>
      <c r="K113" s="540"/>
      <c r="L113" s="540"/>
      <c r="M113" s="540"/>
      <c r="N113" s="540"/>
      <c r="O113" s="721"/>
      <c r="P113" s="540"/>
      <c r="Q113" s="540"/>
      <c r="R113" s="721"/>
      <c r="S113" s="1392">
        <v>135689</v>
      </c>
      <c r="T113" s="1393"/>
    </row>
    <row r="114" spans="1:21" s="458" customFormat="1" ht="12.6" customHeight="1">
      <c r="B114" s="458" t="s">
        <v>1922</v>
      </c>
      <c r="G114" s="1392"/>
      <c r="H114" s="1393"/>
      <c r="J114" s="541"/>
      <c r="K114" s="541"/>
      <c r="L114" s="541"/>
      <c r="M114" s="541"/>
      <c r="N114" s="541"/>
      <c r="P114" s="541"/>
      <c r="Q114" s="541"/>
      <c r="S114" s="1392"/>
      <c r="T114" s="1393"/>
    </row>
    <row r="115" spans="1:21" s="458" customFormat="1" ht="12.6" customHeight="1">
      <c r="B115" s="458" t="s">
        <v>1923</v>
      </c>
      <c r="E115" s="458" t="s">
        <v>1471</v>
      </c>
      <c r="F115" s="647">
        <f>G115/'Part VI-Revenues &amp; Expenses'!$M$63</f>
        <v>1041.6666666666667</v>
      </c>
      <c r="G115" s="1392">
        <v>50000</v>
      </c>
      <c r="H115" s="1393"/>
      <c r="J115" s="1392">
        <v>50000</v>
      </c>
      <c r="K115" s="1393"/>
      <c r="L115" s="732"/>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1230</v>
      </c>
      <c r="C116" s="1394" t="s">
        <v>3658</v>
      </c>
      <c r="D116" s="1394"/>
      <c r="E116" s="1394"/>
      <c r="F116" s="1395"/>
      <c r="G116" s="1392"/>
      <c r="H116" s="1393"/>
      <c r="J116" s="1392"/>
      <c r="K116" s="1393"/>
      <c r="L116" s="732"/>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233814</v>
      </c>
      <c r="H117" s="900"/>
      <c r="J117" s="899">
        <f>SUM(J115:K116)</f>
        <v>50000</v>
      </c>
      <c r="K117" s="900"/>
      <c r="L117" s="732"/>
      <c r="M117" s="899">
        <f>SUM(M115:N116)</f>
        <v>0</v>
      </c>
      <c r="N117" s="900"/>
      <c r="P117" s="899">
        <f>SUM(P115:Q116)</f>
        <v>0</v>
      </c>
      <c r="Q117" s="900"/>
      <c r="S117" s="899">
        <f>SUM(S111:T116)</f>
        <v>183814</v>
      </c>
      <c r="T117" s="900"/>
    </row>
    <row r="118" spans="1:21" s="458" customFormat="1" ht="13.15" customHeight="1">
      <c r="B118" s="461" t="s">
        <v>943</v>
      </c>
      <c r="C118" s="713"/>
      <c r="H118" s="538"/>
      <c r="I118" s="538"/>
      <c r="J118" s="522"/>
      <c r="K118" s="522"/>
      <c r="M118" s="522"/>
      <c r="N118" s="522"/>
      <c r="O118" s="524" t="str">
        <f>B118</f>
        <v>OTHER COSTS</v>
      </c>
      <c r="P118" s="522"/>
      <c r="Q118" s="522"/>
      <c r="S118" s="522"/>
      <c r="T118" s="522"/>
    </row>
    <row r="119" spans="1:21" s="458" customFormat="1" ht="12.6" customHeight="1">
      <c r="B119" s="458" t="s">
        <v>944</v>
      </c>
      <c r="C119" s="713"/>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1230</v>
      </c>
      <c r="C120" s="1394" t="s">
        <v>3658</v>
      </c>
      <c r="D120" s="1394"/>
      <c r="E120" s="1394"/>
      <c r="F120" s="1395"/>
      <c r="G120" s="1392"/>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0</v>
      </c>
      <c r="H121" s="900"/>
      <c r="J121" s="899">
        <f>SUM(J119:K120)</f>
        <v>0</v>
      </c>
      <c r="K121" s="900"/>
      <c r="L121" s="732"/>
      <c r="M121" s="899">
        <f>SUM(M119:N120)</f>
        <v>0</v>
      </c>
      <c r="N121" s="900"/>
      <c r="P121" s="899">
        <f>SUM(P119:Q120)</f>
        <v>0</v>
      </c>
      <c r="Q121" s="900"/>
      <c r="S121" s="899">
        <f>SUM(S119:T120)</f>
        <v>0</v>
      </c>
      <c r="T121" s="900"/>
    </row>
    <row r="122" spans="1:21" s="458" customFormat="1" ht="3" customHeight="1" thickBot="1">
      <c r="C122" s="713"/>
      <c r="H122" s="538"/>
      <c r="I122" s="538"/>
      <c r="L122" s="721"/>
    </row>
    <row r="123" spans="1:21" s="458" customFormat="1" ht="13.9" customHeight="1" thickBot="1">
      <c r="B123" s="465" t="s">
        <v>374</v>
      </c>
      <c r="G123" s="930">
        <f>G17+G23+G27+G32+G36+G42+G56+G68+G74+G83+G98+G104+G109+G117+G121</f>
        <v>7170864</v>
      </c>
      <c r="H123" s="931"/>
      <c r="J123" s="930">
        <f>J17+J23+J27+J32+J36+J42+J56+J68+J74+J83+J98+J104+J109+J117+J121</f>
        <v>6294097</v>
      </c>
      <c r="K123" s="931"/>
      <c r="M123" s="930">
        <f>M17+M23+M27+M32+M36+M42+M56+M68+M74+M83+M98+M104+M109+M117+M121</f>
        <v>0</v>
      </c>
      <c r="N123" s="931"/>
      <c r="P123" s="930">
        <f>P17+P23+P27+P32+P36+P42+P56+P68+P74+P83+P98+P104+P109+P117+P121</f>
        <v>0</v>
      </c>
      <c r="Q123" s="931"/>
      <c r="S123" s="930">
        <f>S17+S23+S27+S32+S36+S42+S56+S68+S74+S83+S98+S104+S109+S117+S121</f>
        <v>876767</v>
      </c>
      <c r="T123" s="931"/>
    </row>
    <row r="124" spans="1:21" s="458" customFormat="1" ht="3" customHeight="1" thickBot="1">
      <c r="C124" s="713"/>
      <c r="H124" s="538"/>
      <c r="I124" s="538"/>
      <c r="L124" s="721"/>
    </row>
    <row r="125" spans="1:21" s="458" customFormat="1" ht="13.9" customHeight="1" thickBot="1">
      <c r="B125" s="465" t="s">
        <v>3894</v>
      </c>
      <c r="D125" s="902">
        <f>IF(AND($T$155 = "Yes", 'Part IX A-Scoring Criteria'!$O$176 &gt; 0),'DCA Underwriting Assumptions'!$R$13, IF(AND('Part IV-Uses of Funds'!$T$156="Yes", 'Part IX A-Scoring Criteria'!$O$74&gt;0),'DCA Underwriting Assumptions'!$R$12, 'DCA Underwriting Assumptions'!$R$11))</f>
        <v>7951624</v>
      </c>
      <c r="E125" s="903"/>
      <c r="F125" s="461" t="s">
        <v>1038</v>
      </c>
      <c r="G125" s="932">
        <f>G123/'Part VI-Revenues &amp; Expenses'!$M$63</f>
        <v>149393</v>
      </c>
      <c r="H125" s="933"/>
      <c r="I125" s="543"/>
      <c r="J125" s="465" t="s">
        <v>1039</v>
      </c>
      <c r="M125" s="932">
        <f>G123/'Part VI-Revenues &amp; Expenses'!$M$98</f>
        <v>150.87027140753207</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1229</v>
      </c>
      <c r="B128" s="408" t="s">
        <v>2145</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3134</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1"/>
      <c r="K131" s="1402"/>
      <c r="P131" s="1401"/>
      <c r="Q131" s="1402"/>
    </row>
    <row r="132" spans="2:17" s="458" customFormat="1" ht="13.9" customHeight="1">
      <c r="B132" s="721" t="s">
        <v>3254</v>
      </c>
      <c r="D132" s="721"/>
      <c r="E132" s="721"/>
      <c r="F132" s="721"/>
      <c r="G132" s="721"/>
      <c r="H132" s="721"/>
      <c r="I132" s="545"/>
      <c r="J132" s="1401"/>
      <c r="K132" s="1402"/>
      <c r="P132" s="1401"/>
      <c r="Q132" s="1402"/>
    </row>
    <row r="133" spans="2:17" s="458" customFormat="1" ht="13.9" customHeight="1">
      <c r="B133" s="721" t="s">
        <v>2916</v>
      </c>
      <c r="D133" s="721"/>
      <c r="E133" s="721"/>
      <c r="I133" s="545"/>
      <c r="J133" s="1401"/>
      <c r="K133" s="1402"/>
      <c r="P133" s="1401"/>
      <c r="Q133" s="1402"/>
    </row>
    <row r="134" spans="2:17" s="458" customFormat="1" ht="13.9" customHeight="1">
      <c r="B134" s="721" t="s">
        <v>2917</v>
      </c>
      <c r="D134" s="721"/>
      <c r="E134" s="721"/>
      <c r="I134" s="545"/>
      <c r="J134" s="1401"/>
      <c r="K134" s="1402"/>
      <c r="P134" s="1401"/>
      <c r="Q134" s="1402"/>
    </row>
    <row r="135" spans="2:17" s="458" customFormat="1" ht="13.9" customHeight="1">
      <c r="B135" s="721" t="s">
        <v>329</v>
      </c>
      <c r="D135" s="721"/>
      <c r="E135" s="721"/>
      <c r="I135" s="545"/>
      <c r="J135" s="1401"/>
      <c r="K135" s="1402"/>
      <c r="P135" s="1401"/>
      <c r="Q135" s="1402"/>
    </row>
    <row r="136" spans="2:17" s="458" customFormat="1" ht="13.9" customHeight="1" thickBot="1">
      <c r="B136" s="721" t="s">
        <v>2363</v>
      </c>
      <c r="C136" s="1394" t="s">
        <v>3658</v>
      </c>
      <c r="D136" s="1394"/>
      <c r="E136" s="1394"/>
      <c r="F136" s="1394"/>
      <c r="G136" s="1394"/>
      <c r="H136" s="1394"/>
      <c r="I136" s="1395"/>
      <c r="J136" s="1401"/>
      <c r="K136" s="1402"/>
      <c r="P136" s="1401"/>
      <c r="Q136" s="1402"/>
    </row>
    <row r="137" spans="2:17" s="458" customFormat="1" ht="13.9" customHeight="1" thickBot="1">
      <c r="B137" s="470" t="s">
        <v>2918</v>
      </c>
      <c r="C137" s="473"/>
      <c r="J137" s="860">
        <f>SUM(J131:K136)</f>
        <v>0</v>
      </c>
      <c r="K137" s="861"/>
      <c r="P137" s="860">
        <f>SUM(P131:Q136)</f>
        <v>0</v>
      </c>
      <c r="Q137" s="861"/>
    </row>
    <row r="138" spans="2:17" s="458" customFormat="1" ht="3" customHeight="1"/>
    <row r="139" spans="2:17" s="458" customFormat="1" ht="15" customHeight="1" thickBot="1">
      <c r="B139" s="461" t="s">
        <v>3486</v>
      </c>
    </row>
    <row r="140" spans="2:17" s="458" customFormat="1" ht="13.9" customHeight="1">
      <c r="B140" s="458" t="s">
        <v>2820</v>
      </c>
      <c r="J140" s="934">
        <f>J123</f>
        <v>6294097</v>
      </c>
      <c r="K140" s="935"/>
      <c r="M140" s="938">
        <f>M123</f>
        <v>0</v>
      </c>
      <c r="N140" s="939"/>
      <c r="P140" s="934">
        <f>P123</f>
        <v>0</v>
      </c>
      <c r="Q140" s="935"/>
    </row>
    <row r="141" spans="2:17" s="458" customFormat="1" ht="13.9" customHeight="1">
      <c r="B141" s="458" t="s">
        <v>3342</v>
      </c>
      <c r="J141" s="910">
        <f>J137</f>
        <v>0</v>
      </c>
      <c r="K141" s="927"/>
      <c r="M141" s="911"/>
      <c r="N141" s="911"/>
      <c r="P141" s="910">
        <f>P137</f>
        <v>0</v>
      </c>
      <c r="Q141" s="927"/>
    </row>
    <row r="142" spans="2:17" s="458" customFormat="1" ht="13.9" customHeight="1">
      <c r="B142" s="458" t="s">
        <v>3343</v>
      </c>
      <c r="J142" s="910">
        <f>J140-J141</f>
        <v>6294097</v>
      </c>
      <c r="K142" s="927"/>
      <c r="M142" s="910">
        <f>M140</f>
        <v>0</v>
      </c>
      <c r="N142" s="927"/>
      <c r="P142" s="910">
        <f>P140-P141</f>
        <v>0</v>
      </c>
      <c r="Q142" s="927"/>
    </row>
    <row r="143" spans="2:17" s="458" customFormat="1" ht="13.9" customHeight="1">
      <c r="B143" s="458" t="s">
        <v>2228</v>
      </c>
      <c r="G143" s="717" t="s">
        <v>2734</v>
      </c>
      <c r="H143" s="1403" t="s">
        <v>2800</v>
      </c>
      <c r="I143" s="1404"/>
      <c r="J143" s="1405">
        <v>1</v>
      </c>
      <c r="K143" s="1406"/>
      <c r="M143" s="937"/>
      <c r="N143" s="937"/>
      <c r="P143" s="1405"/>
      <c r="Q143" s="1406"/>
    </row>
    <row r="144" spans="2:17" s="458" customFormat="1" ht="13.9" customHeight="1">
      <c r="B144" s="458" t="s">
        <v>3148</v>
      </c>
      <c r="J144" s="910">
        <f>J142*J143</f>
        <v>6294097</v>
      </c>
      <c r="K144" s="927"/>
      <c r="M144" s="910">
        <f>+M142</f>
        <v>0</v>
      </c>
      <c r="N144" s="927"/>
      <c r="P144" s="910">
        <f>P142*P143</f>
        <v>0</v>
      </c>
      <c r="Q144" s="927"/>
    </row>
    <row r="145" spans="1:20" s="458" customFormat="1" ht="13.9" customHeight="1">
      <c r="B145" s="458" t="s">
        <v>3838</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3135</v>
      </c>
      <c r="J146" s="910">
        <f>J144*J145</f>
        <v>6294097</v>
      </c>
      <c r="K146" s="927"/>
      <c r="M146" s="910">
        <f>M144*M145</f>
        <v>0</v>
      </c>
      <c r="N146" s="927"/>
      <c r="P146" s="910">
        <f>P144*P145</f>
        <v>0</v>
      </c>
      <c r="Q146" s="927"/>
    </row>
    <row r="147" spans="1:20" s="458" customFormat="1" ht="13.9" customHeight="1">
      <c r="B147" s="458" t="s">
        <v>3136</v>
      </c>
      <c r="J147" s="1405">
        <v>0.09</v>
      </c>
      <c r="K147" s="1406"/>
      <c r="M147" s="1405"/>
      <c r="N147" s="1406"/>
      <c r="P147" s="1405"/>
      <c r="Q147" s="1406"/>
    </row>
    <row r="148" spans="1:20" s="458" customFormat="1" ht="13.9" customHeight="1" thickBot="1">
      <c r="B148" s="458" t="s">
        <v>3839</v>
      </c>
      <c r="J148" s="912">
        <f>J146*J147</f>
        <v>566468.73</v>
      </c>
      <c r="K148" s="913"/>
      <c r="M148" s="912">
        <f>M146*M147</f>
        <v>0</v>
      </c>
      <c r="N148" s="913"/>
      <c r="P148" s="912">
        <f>P146*P147</f>
        <v>0</v>
      </c>
      <c r="Q148" s="913"/>
    </row>
    <row r="149" spans="1:20" s="458" customFormat="1" ht="13.9" customHeight="1" thickBot="1">
      <c r="B149" s="458" t="s">
        <v>2143</v>
      </c>
      <c r="J149" s="860">
        <f>J148+M148+P148</f>
        <v>566468.73</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1231</v>
      </c>
      <c r="B151" s="461" t="s">
        <v>2146</v>
      </c>
      <c r="I151" s="721"/>
      <c r="J151" s="925" t="s">
        <v>345</v>
      </c>
      <c r="K151" s="925"/>
      <c r="L151" s="925"/>
      <c r="M151" s="904" t="str">
        <f>IF(J153&gt;D125,"TDC exceeds PUCL!","")</f>
        <v/>
      </c>
      <c r="N151" s="905"/>
      <c r="O151" s="905"/>
      <c r="P151" s="905"/>
      <c r="Q151" s="905"/>
      <c r="R151" s="906"/>
      <c r="S151" s="917" t="s">
        <v>2650</v>
      </c>
      <c r="T151" s="918"/>
    </row>
    <row r="152" spans="1:20" s="458" customFormat="1" ht="15" customHeight="1">
      <c r="B152" s="461" t="s">
        <v>231</v>
      </c>
      <c r="I152" s="721"/>
      <c r="J152" s="942">
        <f>MIN(G123,D125)</f>
        <v>7170864</v>
      </c>
      <c r="K152" s="942"/>
      <c r="L152" s="942"/>
      <c r="M152" s="907" t="s">
        <v>3643</v>
      </c>
      <c r="N152" s="908"/>
      <c r="O152" s="908"/>
      <c r="P152" s="908"/>
      <c r="Q152" s="908"/>
      <c r="R152" s="909"/>
      <c r="S152" s="919"/>
      <c r="T152" s="920"/>
    </row>
    <row r="153" spans="1:20" s="458" customFormat="1" ht="13.9" customHeight="1">
      <c r="B153" s="458" t="s">
        <v>2649</v>
      </c>
      <c r="J153" s="1407">
        <v>7170864</v>
      </c>
      <c r="K153" s="1408"/>
      <c r="L153" s="1408"/>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750000</v>
      </c>
      <c r="K154" s="911"/>
      <c r="L154" s="911"/>
      <c r="M154" s="907"/>
      <c r="N154" s="908"/>
      <c r="O154" s="908"/>
      <c r="P154" s="908"/>
      <c r="Q154" s="908"/>
      <c r="R154" s="909"/>
      <c r="S154" s="685"/>
      <c r="T154" s="688" t="s">
        <v>344</v>
      </c>
    </row>
    <row r="155" spans="1:20" s="458" customFormat="1" ht="13.9" customHeight="1">
      <c r="B155" s="458" t="s">
        <v>3355</v>
      </c>
      <c r="J155" s="910">
        <f>+J153-J154</f>
        <v>6420864</v>
      </c>
      <c r="K155" s="911"/>
      <c r="L155" s="911"/>
      <c r="M155" s="924" t="s">
        <v>342</v>
      </c>
      <c r="N155" s="925"/>
      <c r="O155" s="925" t="s">
        <v>2652</v>
      </c>
      <c r="P155" s="925"/>
      <c r="Q155" s="925"/>
      <c r="R155" s="926"/>
      <c r="S155" s="686" t="s">
        <v>2651</v>
      </c>
      <c r="T155" s="1409" t="s">
        <v>3919</v>
      </c>
    </row>
    <row r="156" spans="1:20" s="458" customFormat="1" ht="13.9" customHeight="1" thickBot="1">
      <c r="B156" s="458" t="s">
        <v>1986</v>
      </c>
      <c r="J156" s="929" t="str">
        <f>"/ 10"</f>
        <v>/ 10</v>
      </c>
      <c r="K156" s="929"/>
      <c r="L156" s="929"/>
      <c r="M156" s="1410"/>
      <c r="N156" s="1411"/>
      <c r="O156" s="1412"/>
      <c r="P156" s="1412"/>
      <c r="Q156" s="1412"/>
      <c r="R156" s="1413"/>
      <c r="S156" s="687" t="s">
        <v>343</v>
      </c>
      <c r="T156" s="1414" t="s">
        <v>3919</v>
      </c>
    </row>
    <row r="157" spans="1:20" s="458" customFormat="1" ht="13.9" customHeight="1">
      <c r="B157" s="458" t="s">
        <v>1987</v>
      </c>
      <c r="J157" s="910">
        <f>J155/10</f>
        <v>642086.40000000002</v>
      </c>
      <c r="K157" s="911"/>
      <c r="L157" s="927"/>
      <c r="M157" s="482"/>
      <c r="N157" s="797" t="s">
        <v>1988</v>
      </c>
      <c r="O157" s="797"/>
      <c r="Q157" s="797" t="s">
        <v>2829</v>
      </c>
      <c r="R157" s="797"/>
    </row>
    <row r="158" spans="1:20" s="458" customFormat="1" ht="13.9" customHeight="1" thickBot="1">
      <c r="B158" s="458" t="s">
        <v>2227</v>
      </c>
      <c r="J158" s="921">
        <f>N158+Q158</f>
        <v>1.1099999999999999</v>
      </c>
      <c r="K158" s="922"/>
      <c r="L158" s="923"/>
      <c r="M158" s="717" t="s">
        <v>1989</v>
      </c>
      <c r="N158" s="1415">
        <v>0.85</v>
      </c>
      <c r="O158" s="1416"/>
      <c r="P158" s="717" t="s">
        <v>945</v>
      </c>
      <c r="Q158" s="1415">
        <v>0.26</v>
      </c>
      <c r="R158" s="1416"/>
    </row>
    <row r="159" spans="1:20" s="458" customFormat="1" ht="13.9" customHeight="1" thickBot="1">
      <c r="B159" s="458" t="s">
        <v>2144</v>
      </c>
      <c r="J159" s="860">
        <f>IF(J158=0,"",J157/J158)</f>
        <v>578456.21621621633</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447</v>
      </c>
      <c r="J161" s="914">
        <f>+MIN(J149,J159,'DCA Underwriting Assumptions'!$R$6)</f>
        <v>566468.73</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448</v>
      </c>
      <c r="J163" s="1417">
        <v>566468.73</v>
      </c>
      <c r="K163" s="1418"/>
      <c r="L163" s="1419"/>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2822</v>
      </c>
      <c r="B165" s="461" t="s">
        <v>449</v>
      </c>
      <c r="D165" s="482"/>
      <c r="E165" s="482"/>
      <c r="F165" s="464"/>
      <c r="J165" s="914">
        <f>+MIN(J161,J163)</f>
        <v>566468.73</v>
      </c>
      <c r="K165" s="915"/>
      <c r="L165" s="916"/>
      <c r="N165" s="1420"/>
      <c r="O165" s="1420"/>
      <c r="P165" s="1420"/>
      <c r="Q165" s="1420"/>
      <c r="R165" s="1420"/>
      <c r="S165" s="1420"/>
      <c r="T165" s="1420"/>
    </row>
    <row r="166" spans="1:20" ht="3" customHeight="1"/>
    <row r="167" spans="1:20" ht="6" customHeight="1"/>
    <row r="168" spans="1:20" ht="12" customHeight="1">
      <c r="A168" s="461" t="s">
        <v>2824</v>
      </c>
      <c r="B168" s="491" t="s">
        <v>879</v>
      </c>
      <c r="K168" s="461" t="s">
        <v>822</v>
      </c>
      <c r="L168" s="461" t="s">
        <v>89</v>
      </c>
    </row>
    <row r="169" spans="1:20" ht="107.45" customHeight="1">
      <c r="A169" s="1421" t="s">
        <v>4029</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C12" sqref="C12"/>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2011-030 Water Tower Park Apartments, Gray, Jones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806</v>
      </c>
      <c r="I3" s="741" t="str">
        <f>VLOOKUP('Part I-Project Information'!$J$25,'Part I-Project Information'!$C$183:$D$342,2)</f>
        <v>Middle</v>
      </c>
    </row>
    <row r="4" spans="1:20" s="9" customFormat="1"/>
    <row r="5" spans="1:20" s="9" customFormat="1">
      <c r="A5" s="16" t="s">
        <v>950</v>
      </c>
      <c r="B5" s="16" t="s">
        <v>3350</v>
      </c>
      <c r="F5" s="9" t="s">
        <v>3804</v>
      </c>
      <c r="I5" s="1361" t="s">
        <v>4027</v>
      </c>
      <c r="J5" s="1362"/>
      <c r="K5" s="1362"/>
      <c r="L5" s="1362"/>
      <c r="M5" s="1363"/>
    </row>
    <row r="6" spans="1:20" s="9" customFormat="1" ht="13.15" customHeight="1">
      <c r="A6" s="16"/>
      <c r="F6" s="9" t="s">
        <v>972</v>
      </c>
      <c r="H6" s="31"/>
      <c r="I6" s="1364">
        <v>40695</v>
      </c>
      <c r="J6" s="1365"/>
      <c r="K6" s="77" t="s">
        <v>833</v>
      </c>
      <c r="L6" s="1366" t="s">
        <v>4007</v>
      </c>
      <c r="M6" s="1363"/>
    </row>
    <row r="7" spans="1:20" s="9" customFormat="1" ht="6" customHeight="1">
      <c r="A7" s="16"/>
    </row>
    <row r="8" spans="1:20" s="16" customFormat="1">
      <c r="B8" s="337"/>
      <c r="C8" s="337"/>
      <c r="D8" s="337"/>
      <c r="E8" s="337"/>
      <c r="F8" s="962" t="s">
        <v>942</v>
      </c>
      <c r="G8" s="962"/>
      <c r="I8" s="961" t="s">
        <v>258</v>
      </c>
      <c r="J8" s="961"/>
      <c r="K8" s="961"/>
      <c r="L8" s="961"/>
      <c r="M8" s="961"/>
    </row>
    <row r="9" spans="1:20" s="16" customFormat="1">
      <c r="B9" s="337" t="s">
        <v>1380</v>
      </c>
      <c r="D9" s="337" t="s">
        <v>2361</v>
      </c>
      <c r="F9" s="736" t="s">
        <v>978</v>
      </c>
      <c r="G9" s="736" t="s">
        <v>2902</v>
      </c>
      <c r="I9" s="338">
        <v>0</v>
      </c>
      <c r="J9" s="339">
        <v>1</v>
      </c>
      <c r="K9" s="339">
        <v>2</v>
      </c>
      <c r="L9" s="339">
        <v>3</v>
      </c>
      <c r="M9" s="339">
        <v>4</v>
      </c>
    </row>
    <row r="10" spans="1:20" s="9" customFormat="1">
      <c r="B10" s="340" t="s">
        <v>2904</v>
      </c>
      <c r="C10" s="341"/>
      <c r="D10" s="1367" t="s">
        <v>3978</v>
      </c>
      <c r="E10" s="1368"/>
      <c r="F10" s="1369" t="s">
        <v>651</v>
      </c>
      <c r="G10" s="1369"/>
      <c r="H10" s="342"/>
      <c r="I10" s="1370"/>
      <c r="J10" s="1370">
        <v>7</v>
      </c>
      <c r="K10" s="1370">
        <v>9</v>
      </c>
      <c r="L10" s="1370">
        <v>13</v>
      </c>
      <c r="M10" s="1370"/>
    </row>
    <row r="11" spans="1:20" s="9" customFormat="1">
      <c r="B11" s="343" t="s">
        <v>686</v>
      </c>
      <c r="C11" s="344"/>
      <c r="D11" s="343" t="s">
        <v>2357</v>
      </c>
      <c r="E11" s="344"/>
      <c r="F11" s="1371" t="s">
        <v>651</v>
      </c>
      <c r="G11" s="1371"/>
      <c r="H11" s="345"/>
      <c r="I11" s="1372"/>
      <c r="J11" s="1372">
        <v>32</v>
      </c>
      <c r="K11" s="1372">
        <v>41</v>
      </c>
      <c r="L11" s="1373">
        <v>49</v>
      </c>
      <c r="M11" s="1373"/>
    </row>
    <row r="12" spans="1:20" s="9" customFormat="1">
      <c r="B12" s="343" t="s">
        <v>2358</v>
      </c>
      <c r="C12" s="344"/>
      <c r="D12" s="1374" t="s">
        <v>2357</v>
      </c>
      <c r="E12" s="1375"/>
      <c r="F12" s="1371" t="s">
        <v>651</v>
      </c>
      <c r="G12" s="1371"/>
      <c r="H12" s="345"/>
      <c r="I12" s="1372"/>
      <c r="J12" s="1372">
        <v>9</v>
      </c>
      <c r="K12" s="1372">
        <v>12</v>
      </c>
      <c r="L12" s="1373">
        <v>14</v>
      </c>
      <c r="M12" s="1373"/>
    </row>
    <row r="13" spans="1:20" s="9" customFormat="1">
      <c r="B13" s="343" t="s">
        <v>2359</v>
      </c>
      <c r="C13" s="344"/>
      <c r="D13" s="1374" t="s">
        <v>2357</v>
      </c>
      <c r="E13" s="1375"/>
      <c r="F13" s="1371" t="s">
        <v>651</v>
      </c>
      <c r="G13" s="1371"/>
      <c r="H13" s="345"/>
      <c r="I13" s="1372"/>
      <c r="J13" s="1372">
        <v>28</v>
      </c>
      <c r="K13" s="1372">
        <v>36</v>
      </c>
      <c r="L13" s="1373">
        <v>44</v>
      </c>
      <c r="M13" s="1373"/>
    </row>
    <row r="14" spans="1:20" s="9" customFormat="1">
      <c r="B14" s="343" t="s">
        <v>2360</v>
      </c>
      <c r="C14" s="344"/>
      <c r="D14" s="343" t="s">
        <v>2357</v>
      </c>
      <c r="E14" s="346"/>
      <c r="F14" s="1371" t="s">
        <v>651</v>
      </c>
      <c r="G14" s="1371"/>
      <c r="H14" s="345"/>
      <c r="I14" s="1372"/>
      <c r="J14" s="1372">
        <v>26</v>
      </c>
      <c r="K14" s="1372">
        <v>33</v>
      </c>
      <c r="L14" s="1373">
        <v>41</v>
      </c>
      <c r="M14" s="1373"/>
    </row>
    <row r="15" spans="1:20" s="9" customFormat="1">
      <c r="B15" s="343" t="s">
        <v>2072</v>
      </c>
      <c r="C15" s="344"/>
      <c r="D15" s="343" t="s">
        <v>3349</v>
      </c>
      <c r="E15" s="1376" t="s">
        <v>3918</v>
      </c>
      <c r="F15" s="1371"/>
      <c r="G15" s="1371" t="s">
        <v>651</v>
      </c>
      <c r="H15" s="345"/>
      <c r="I15" s="1372"/>
      <c r="J15" s="1372"/>
      <c r="K15" s="1372"/>
      <c r="L15" s="1373"/>
      <c r="M15" s="1373"/>
    </row>
    <row r="16" spans="1:20" s="9" customFormat="1">
      <c r="B16" s="347" t="s">
        <v>2903</v>
      </c>
      <c r="C16" s="348"/>
      <c r="D16" s="347"/>
      <c r="E16" s="315"/>
      <c r="F16" s="1377"/>
      <c r="G16" s="1377" t="s">
        <v>651</v>
      </c>
      <c r="H16" s="349"/>
      <c r="I16" s="1378"/>
      <c r="J16" s="1378"/>
      <c r="K16" s="1378"/>
      <c r="L16" s="1379"/>
      <c r="M16" s="1379"/>
    </row>
    <row r="17" spans="1:19" s="9" customFormat="1">
      <c r="B17" s="337" t="s">
        <v>1640</v>
      </c>
      <c r="D17" s="31"/>
      <c r="E17" s="31"/>
      <c r="F17" s="111"/>
      <c r="G17" s="111"/>
      <c r="I17" s="736">
        <f>SUM(I10:I16)</f>
        <v>0</v>
      </c>
      <c r="J17" s="736">
        <f>SUM(J10:J16)</f>
        <v>102</v>
      </c>
      <c r="K17" s="736">
        <f>SUM(K10:K16)</f>
        <v>131</v>
      </c>
      <c r="L17" s="736">
        <f>SUM(L10:L16)</f>
        <v>161</v>
      </c>
      <c r="M17" s="736">
        <f>SUM(M10:M16)</f>
        <v>0</v>
      </c>
    </row>
    <row r="18" spans="1:19" s="9" customFormat="1" ht="11.25" customHeight="1">
      <c r="M18" s="31"/>
      <c r="N18" s="31"/>
      <c r="O18" s="31"/>
      <c r="P18" s="31"/>
      <c r="Q18" s="31"/>
      <c r="R18" s="31"/>
      <c r="S18" s="31"/>
    </row>
    <row r="19" spans="1:19" s="9" customFormat="1">
      <c r="A19" s="16" t="s">
        <v>1229</v>
      </c>
      <c r="B19" s="16" t="s">
        <v>3351</v>
      </c>
      <c r="F19" s="9" t="s">
        <v>3804</v>
      </c>
      <c r="I19" s="1366"/>
      <c r="J19" s="1362"/>
      <c r="K19" s="1362"/>
      <c r="L19" s="1362"/>
      <c r="M19" s="1363"/>
    </row>
    <row r="20" spans="1:19" s="9" customFormat="1" ht="13.15" customHeight="1">
      <c r="A20" s="16"/>
      <c r="B20" s="16"/>
      <c r="F20" s="9" t="s">
        <v>972</v>
      </c>
      <c r="H20" s="31"/>
      <c r="I20" s="1364"/>
      <c r="J20" s="1365"/>
      <c r="K20" s="77" t="s">
        <v>833</v>
      </c>
      <c r="L20" s="1366"/>
      <c r="M20" s="1363"/>
    </row>
    <row r="21" spans="1:19" s="9" customFormat="1" ht="6" customHeight="1">
      <c r="A21" s="16"/>
    </row>
    <row r="22" spans="1:19" s="16" customFormat="1">
      <c r="B22" s="337"/>
      <c r="C22" s="337"/>
      <c r="D22" s="337"/>
      <c r="E22" s="337"/>
      <c r="F22" s="962" t="s">
        <v>942</v>
      </c>
      <c r="G22" s="962"/>
      <c r="I22" s="961" t="s">
        <v>258</v>
      </c>
      <c r="J22" s="961"/>
      <c r="K22" s="961"/>
      <c r="L22" s="961"/>
      <c r="M22" s="961"/>
    </row>
    <row r="23" spans="1:19" s="16" customFormat="1">
      <c r="B23" s="337" t="s">
        <v>1380</v>
      </c>
      <c r="D23" s="337" t="s">
        <v>2361</v>
      </c>
      <c r="F23" s="736" t="s">
        <v>978</v>
      </c>
      <c r="G23" s="736" t="s">
        <v>2902</v>
      </c>
      <c r="I23" s="338">
        <v>0</v>
      </c>
      <c r="J23" s="339">
        <v>1</v>
      </c>
      <c r="K23" s="339">
        <v>2</v>
      </c>
      <c r="L23" s="339">
        <v>3</v>
      </c>
      <c r="M23" s="339">
        <v>4</v>
      </c>
    </row>
    <row r="24" spans="1:19" s="9" customFormat="1">
      <c r="B24" s="340" t="s">
        <v>2904</v>
      </c>
      <c r="C24" s="341"/>
      <c r="D24" s="1367" t="s">
        <v>2860</v>
      </c>
      <c r="E24" s="1368"/>
      <c r="F24" s="1369"/>
      <c r="G24" s="1369"/>
      <c r="H24" s="342"/>
      <c r="I24" s="1370"/>
      <c r="J24" s="1370"/>
      <c r="K24" s="1370"/>
      <c r="L24" s="1370"/>
      <c r="M24" s="1370"/>
    </row>
    <row r="25" spans="1:19" s="9" customFormat="1">
      <c r="B25" s="343" t="s">
        <v>686</v>
      </c>
      <c r="C25" s="344"/>
      <c r="D25" s="343" t="s">
        <v>2357</v>
      </c>
      <c r="E25" s="344"/>
      <c r="F25" s="1371"/>
      <c r="G25" s="1371"/>
      <c r="H25" s="345"/>
      <c r="I25" s="1372"/>
      <c r="J25" s="1372"/>
      <c r="K25" s="1372"/>
      <c r="L25" s="1373"/>
      <c r="M25" s="1373"/>
    </row>
    <row r="26" spans="1:19" s="9" customFormat="1">
      <c r="B26" s="343" t="s">
        <v>2358</v>
      </c>
      <c r="C26" s="344"/>
      <c r="D26" s="1374" t="s">
        <v>2860</v>
      </c>
      <c r="E26" s="1375"/>
      <c r="F26" s="1371"/>
      <c r="G26" s="1371"/>
      <c r="H26" s="345"/>
      <c r="I26" s="1372"/>
      <c r="J26" s="1372"/>
      <c r="K26" s="1372"/>
      <c r="L26" s="1373"/>
      <c r="M26" s="1373"/>
    </row>
    <row r="27" spans="1:19" s="9" customFormat="1">
      <c r="B27" s="343" t="s">
        <v>2359</v>
      </c>
      <c r="C27" s="344"/>
      <c r="D27" s="1374" t="s">
        <v>2860</v>
      </c>
      <c r="E27" s="1375"/>
      <c r="F27" s="1371"/>
      <c r="G27" s="1371"/>
      <c r="H27" s="345"/>
      <c r="I27" s="1372"/>
      <c r="J27" s="1372"/>
      <c r="K27" s="1372"/>
      <c r="L27" s="1373"/>
      <c r="M27" s="1373"/>
    </row>
    <row r="28" spans="1:19" s="9" customFormat="1">
      <c r="B28" s="343" t="s">
        <v>2360</v>
      </c>
      <c r="C28" s="344"/>
      <c r="D28" s="343" t="s">
        <v>2357</v>
      </c>
      <c r="E28" s="346"/>
      <c r="F28" s="1371"/>
      <c r="G28" s="1371"/>
      <c r="H28" s="345"/>
      <c r="I28" s="1372"/>
      <c r="J28" s="1372"/>
      <c r="K28" s="1372"/>
      <c r="L28" s="1373"/>
      <c r="M28" s="1373"/>
    </row>
    <row r="29" spans="1:19" s="9" customFormat="1">
      <c r="B29" s="343" t="s">
        <v>2072</v>
      </c>
      <c r="C29" s="344"/>
      <c r="D29" s="343" t="s">
        <v>3349</v>
      </c>
      <c r="E29" s="1376" t="s">
        <v>259</v>
      </c>
      <c r="F29" s="1371"/>
      <c r="G29" s="1371"/>
      <c r="H29" s="345"/>
      <c r="I29" s="1372"/>
      <c r="J29" s="1372"/>
      <c r="K29" s="1372"/>
      <c r="L29" s="1373"/>
      <c r="M29" s="1373"/>
    </row>
    <row r="30" spans="1:19" s="9" customFormat="1">
      <c r="B30" s="347" t="s">
        <v>2903</v>
      </c>
      <c r="C30" s="348"/>
      <c r="D30" s="347"/>
      <c r="E30" s="315"/>
      <c r="F30" s="1377"/>
      <c r="G30" s="1377"/>
      <c r="H30" s="349"/>
      <c r="I30" s="1378"/>
      <c r="J30" s="1378"/>
      <c r="K30" s="1378"/>
      <c r="L30" s="1379"/>
      <c r="M30" s="1379"/>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2839</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80"/>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2011-06-22T23:48:15Z</cp:lastPrinted>
  <dcterms:created xsi:type="dcterms:W3CDTF">2005-09-15T20:51:37Z</dcterms:created>
  <dcterms:modified xsi:type="dcterms:W3CDTF">2011-08-10T16:25:51Z</dcterms:modified>
</cp:coreProperties>
</file>