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C31" i="25"/>
  <c r="M2260" i="35"/>
  <c r="M2261"/>
  <c r="M2259"/>
  <c r="J322"/>
  <c r="J316"/>
  <c r="J309"/>
  <c r="J303"/>
  <c r="J297"/>
  <c r="J291"/>
  <c r="J283"/>
  <c r="J277"/>
  <c r="J271"/>
  <c r="J265"/>
  <c r="J257"/>
  <c r="J249"/>
  <c r="J243"/>
  <c r="J235"/>
  <c r="J229"/>
  <c r="M2115" l="1"/>
  <c r="B32" i="3"/>
  <c r="P2751" i="35"/>
  <c r="H2603"/>
  <c r="Q2135"/>
  <c r="R1726"/>
  <c r="R1727"/>
  <c r="R1728"/>
  <c r="R1729"/>
  <c r="R1730"/>
  <c r="R1731"/>
  <c r="Q17" i="36"/>
  <c r="Q1732" i="35" s="1"/>
  <c r="R1732"/>
  <c r="Q18" i="36"/>
  <c r="Q1733" i="35"/>
  <c r="R1733"/>
  <c r="Q19" i="36"/>
  <c r="Q1734" i="35" s="1"/>
  <c r="R1734"/>
  <c r="Q20" i="36"/>
  <c r="Q1735" i="35" s="1"/>
  <c r="R1735"/>
  <c r="Q21" i="36"/>
  <c r="Q1736" i="35" s="1"/>
  <c r="R1736"/>
  <c r="Q22" i="36"/>
  <c r="Q1737" i="35"/>
  <c r="R1737"/>
  <c r="Q23" i="36"/>
  <c r="Q1738" i="35" s="1"/>
  <c r="R1738"/>
  <c r="Q24" i="36"/>
  <c r="Q1739" i="35" s="1"/>
  <c r="R1739"/>
  <c r="Q25" i="36"/>
  <c r="Q1740" i="35" s="1"/>
  <c r="R1740"/>
  <c r="Q26" i="36"/>
  <c r="Q1741" i="35"/>
  <c r="R1741"/>
  <c r="Q27" i="36"/>
  <c r="Q1742" i="35" s="1"/>
  <c r="R1742"/>
  <c r="Q28" i="36"/>
  <c r="Q1743" i="35" s="1"/>
  <c r="R1743"/>
  <c r="Q29" i="36"/>
  <c r="Q1744" i="35" s="1"/>
  <c r="R1744"/>
  <c r="Q30" i="36"/>
  <c r="Q1745" i="35"/>
  <c r="R1745"/>
  <c r="Q31" i="36"/>
  <c r="Q1746" i="35" s="1"/>
  <c r="R1746"/>
  <c r="Q32" i="36"/>
  <c r="Q1747" i="35" s="1"/>
  <c r="R1747"/>
  <c r="Q33" i="36"/>
  <c r="Q1748" i="35" s="1"/>
  <c r="R1748"/>
  <c r="Q34" i="36"/>
  <c r="Q1749" i="35"/>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M2613" s="1"/>
  <c r="O2603"/>
  <c r="P2603"/>
  <c r="O2604"/>
  <c r="P2604"/>
  <c r="O2602"/>
  <c r="P2602"/>
  <c r="H2605"/>
  <c r="H2604"/>
  <c r="J2603"/>
  <c r="O2608"/>
  <c r="P2608"/>
  <c r="O2609"/>
  <c r="P2609"/>
  <c r="O2610"/>
  <c r="M2610" s="1"/>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C128"/>
  <c r="K93"/>
  <c r="I93"/>
  <c r="G93"/>
  <c r="E93"/>
  <c r="C93"/>
  <c r="K58"/>
  <c r="J58"/>
  <c r="I58"/>
  <c r="H58"/>
  <c r="G58"/>
  <c r="F58"/>
  <c r="E58"/>
  <c r="D58"/>
  <c r="C58"/>
  <c r="B58"/>
  <c r="K23"/>
  <c r="J23"/>
  <c r="I23"/>
  <c r="H23"/>
  <c r="G23"/>
  <c r="F23"/>
  <c r="E23"/>
  <c r="D23"/>
  <c r="C23"/>
  <c r="B23"/>
  <c r="B41"/>
  <c r="B1929" i="35"/>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K1689" s="1"/>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F1602" s="1"/>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J1579" s="1"/>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G1528" s="1"/>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s="1"/>
  <c r="G1511"/>
  <c r="G1512"/>
  <c r="G1504"/>
  <c r="J1513"/>
  <c r="J1523"/>
  <c r="J1528"/>
  <c r="J1532"/>
  <c r="J1552"/>
  <c r="J1564"/>
  <c r="J1570"/>
  <c r="J1605"/>
  <c r="J1613"/>
  <c r="J1617"/>
  <c r="J1633"/>
  <c r="J1637" s="1"/>
  <c r="M1513"/>
  <c r="M1519"/>
  <c r="M1523"/>
  <c r="M1528"/>
  <c r="M1532"/>
  <c r="M1552"/>
  <c r="M1564"/>
  <c r="M1570"/>
  <c r="M1579"/>
  <c r="M1605"/>
  <c r="M1613"/>
  <c r="M1617"/>
  <c r="P1513"/>
  <c r="P1523"/>
  <c r="P1528"/>
  <c r="P1532"/>
  <c r="P1552"/>
  <c r="P1564"/>
  <c r="P1570"/>
  <c r="P1579"/>
  <c r="P1605"/>
  <c r="P1613"/>
  <c r="P1617"/>
  <c r="P1633"/>
  <c r="P1637"/>
  <c r="H49" i="3"/>
  <c r="J1652" i="35"/>
  <c r="G1513"/>
  <c r="G1519"/>
  <c r="G1523"/>
  <c r="G1532"/>
  <c r="G1552"/>
  <c r="G1564"/>
  <c r="G1579"/>
  <c r="G1594"/>
  <c r="G1600"/>
  <c r="G1605"/>
  <c r="C1605" s="1"/>
  <c r="G1613"/>
  <c r="G1617"/>
  <c r="S1513"/>
  <c r="S1519"/>
  <c r="S1523"/>
  <c r="S1528"/>
  <c r="S1532"/>
  <c r="S1552"/>
  <c r="S1564"/>
  <c r="S1570"/>
  <c r="S1579"/>
  <c r="S1594"/>
  <c r="S1600"/>
  <c r="S1605"/>
  <c r="S1613"/>
  <c r="S1617"/>
  <c r="U1616"/>
  <c r="A1616"/>
  <c r="O1614"/>
  <c r="U1612"/>
  <c r="A1612"/>
  <c r="O1606"/>
  <c r="F1604"/>
  <c r="F1603"/>
  <c r="O1601"/>
  <c r="U1599"/>
  <c r="A1599"/>
  <c r="O1595"/>
  <c r="U1593"/>
  <c r="A1593"/>
  <c r="U1592"/>
  <c r="A1592"/>
  <c r="E1588"/>
  <c r="O1584"/>
  <c r="U1578"/>
  <c r="A1578"/>
  <c r="O1571"/>
  <c r="O1565"/>
  <c r="U1563"/>
  <c r="A1563"/>
  <c r="O1553"/>
  <c r="U1551"/>
  <c r="A1551"/>
  <c r="O1543"/>
  <c r="F1538"/>
  <c r="O1537"/>
  <c r="E1531"/>
  <c r="F1531"/>
  <c r="E1530"/>
  <c r="F1530"/>
  <c r="O1529"/>
  <c r="E1529"/>
  <c r="O1524"/>
  <c r="O1520"/>
  <c r="O1514"/>
  <c r="U1512"/>
  <c r="A1512"/>
  <c r="U1511"/>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c r="P2762"/>
  <c r="P2771"/>
  <c r="O2500"/>
  <c r="O2547"/>
  <c r="O2631"/>
  <c r="O2624" s="1"/>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1"/>
  <c r="M2609"/>
  <c r="M2608"/>
  <c r="M2607"/>
  <c r="M2605"/>
  <c r="M2601"/>
  <c r="M2600"/>
  <c r="M2599"/>
  <c r="M2598"/>
  <c r="M2595"/>
  <c r="M2594"/>
  <c r="M2593"/>
  <c r="M2591"/>
  <c r="M2590"/>
  <c r="M2589"/>
  <c r="M2577"/>
  <c r="M2576"/>
  <c r="L2549"/>
  <c r="L2548"/>
  <c r="L2534"/>
  <c r="R2523"/>
  <c r="L2523"/>
  <c r="P2509"/>
  <c r="K2509"/>
  <c r="F2509"/>
  <c r="G2502" s="1"/>
  <c r="G2504"/>
  <c r="G2503"/>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E2028" s="1"/>
  <c r="D2017"/>
  <c r="C2017"/>
  <c r="C2028" s="1"/>
  <c r="B2017"/>
  <c r="A1962"/>
  <c r="A1997"/>
  <c r="A2032"/>
  <c r="A1961"/>
  <c r="A1996"/>
  <c r="A2031"/>
  <c r="A1925"/>
  <c r="A1960" s="1"/>
  <c r="A1995" s="1"/>
  <c r="A2030" s="1"/>
  <c r="A1924"/>
  <c r="A1959" s="1"/>
  <c r="A1994" s="1"/>
  <c r="A2029" s="1"/>
  <c r="F2028"/>
  <c r="D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c r="A1984" s="1"/>
  <c r="A2019" s="1"/>
  <c r="A1913"/>
  <c r="A1948"/>
  <c r="A1983" s="1"/>
  <c r="A2018" s="1"/>
  <c r="A1912"/>
  <c r="A1947"/>
  <c r="A1982" s="1"/>
  <c r="A2017" s="1"/>
  <c r="A1911"/>
  <c r="A1946"/>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s="1"/>
  <c r="K1726"/>
  <c r="L1726" s="1"/>
  <c r="K1727"/>
  <c r="L1727" s="1"/>
  <c r="K1728"/>
  <c r="L1728" s="1"/>
  <c r="K1729"/>
  <c r="L1729" s="1"/>
  <c r="K1731"/>
  <c r="L1731" s="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7"/>
  <c r="A1728"/>
  <c r="A1729"/>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c r="O270"/>
  <c r="O279"/>
  <c r="G109" i="15"/>
  <c r="D37" i="3" s="1"/>
  <c r="D390" i="35" s="1"/>
  <c r="J25" i="7"/>
  <c r="J54" i="35" s="1"/>
  <c r="I3" i="29"/>
  <c r="I17"/>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s="1"/>
  <c r="P142" s="1"/>
  <c r="P144" s="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B39"/>
  <c r="F42" s="1"/>
  <c r="J158"/>
  <c r="E34"/>
  <c r="F34" s="1"/>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Q16" s="1"/>
  <c r="Q1731" i="35" s="1"/>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Q12" s="1"/>
  <c r="Q1727" i="35" s="1"/>
  <c r="P13" i="36"/>
  <c r="P1728" i="35" s="1"/>
  <c r="P14" i="36"/>
  <c r="Q14" s="1"/>
  <c r="Q1729" i="35" s="1"/>
  <c r="P10" i="36"/>
  <c r="Q10" s="1"/>
  <c r="Q1725" i="35" s="1"/>
  <c r="A37" i="8"/>
  <c r="A72"/>
  <c r="A107" s="1"/>
  <c r="A142" s="1"/>
  <c r="A36"/>
  <c r="A71"/>
  <c r="A106" s="1"/>
  <c r="A141" s="1"/>
  <c r="A35"/>
  <c r="A70"/>
  <c r="A105" s="1"/>
  <c r="A140" s="1"/>
  <c r="A34"/>
  <c r="A69"/>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32" i="8"/>
  <c r="B1920" i="35" s="1"/>
  <c r="C32" i="8"/>
  <c r="C1920" i="35" s="1"/>
  <c r="D32" i="8"/>
  <c r="D1920" i="35" s="1"/>
  <c r="E32" i="8"/>
  <c r="E1920" i="35" s="1"/>
  <c r="F32" i="8"/>
  <c r="F1920" i="35" s="1"/>
  <c r="G32" i="8"/>
  <c r="G1920" i="35" s="1"/>
  <c r="H32" i="8"/>
  <c r="H1920" i="35" s="1"/>
  <c r="I32" i="8"/>
  <c r="I1920" i="35" s="1"/>
  <c r="J32" i="8"/>
  <c r="J1920" i="35" s="1"/>
  <c r="K32" i="8"/>
  <c r="K1920" i="35" s="1"/>
  <c r="B67" i="8"/>
  <c r="B1955" i="35" s="1"/>
  <c r="C67" i="8"/>
  <c r="C1955" i="35" s="1"/>
  <c r="D67" i="8"/>
  <c r="D1955" i="35" s="1"/>
  <c r="E67" i="8"/>
  <c r="E1955" i="35" s="1"/>
  <c r="F67" i="8"/>
  <c r="F1955" i="35" s="1"/>
  <c r="G67" i="8"/>
  <c r="G1955" i="35" s="1"/>
  <c r="H67" i="8"/>
  <c r="H1955" i="35" s="1"/>
  <c r="I67" i="8"/>
  <c r="I1955" i="35" s="1"/>
  <c r="J67" i="8"/>
  <c r="J1955" i="35" s="1"/>
  <c r="K67" i="8"/>
  <c r="K1955" i="35" s="1"/>
  <c r="B102" i="8"/>
  <c r="B1990" i="35" s="1"/>
  <c r="C102" i="8"/>
  <c r="C1990" i="35" s="1"/>
  <c r="D102" i="8"/>
  <c r="D1990" i="35" s="1"/>
  <c r="E102" i="8"/>
  <c r="E1990" i="35" s="1"/>
  <c r="F102" i="8"/>
  <c r="F1990" i="35" s="1"/>
  <c r="G102" i="8"/>
  <c r="G1990" i="35" s="1"/>
  <c r="H102" i="8"/>
  <c r="H1990" i="35" s="1"/>
  <c r="I102" i="8"/>
  <c r="I1990" i="35" s="1"/>
  <c r="J102" i="8"/>
  <c r="J1990" i="35" s="1"/>
  <c r="K102" i="8"/>
  <c r="K1990" i="35" s="1"/>
  <c r="B137" i="8"/>
  <c r="B2025" i="35" s="1"/>
  <c r="C137" i="8"/>
  <c r="C2025" i="35" s="1"/>
  <c r="D137" i="8"/>
  <c r="D2025" i="35" s="1"/>
  <c r="E137" i="8"/>
  <c r="E2025" i="35" s="1"/>
  <c r="F137" i="8"/>
  <c r="F2025" i="35" s="1"/>
  <c r="M37" i="3"/>
  <c r="F136" i="8" s="1"/>
  <c r="B30"/>
  <c r="B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c r="F131" i="8"/>
  <c r="F2019" i="35" s="1"/>
  <c r="E131" i="8"/>
  <c r="E2019" i="35" s="1"/>
  <c r="D131" i="8"/>
  <c r="D2019" i="35" s="1"/>
  <c r="C131" i="8"/>
  <c r="C2019" i="35" s="1"/>
  <c r="B131" i="8"/>
  <c r="B2019" i="35" s="1"/>
  <c r="M33" i="3"/>
  <c r="M386" i="35" s="1"/>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66" i="8"/>
  <c r="G66"/>
  <c r="C66"/>
  <c r="K63"/>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C26" i="8"/>
  <c r="C1914" i="35" s="1"/>
  <c r="D26" i="8"/>
  <c r="D1914" i="35"/>
  <c r="E26" i="8"/>
  <c r="E1914" i="35" s="1"/>
  <c r="F26" i="8"/>
  <c r="F1914" i="35"/>
  <c r="G26" i="8"/>
  <c r="G1914" i="35" s="1"/>
  <c r="H26" i="8"/>
  <c r="H1914" i="35"/>
  <c r="I26" i="8"/>
  <c r="I1914" i="35" s="1"/>
  <c r="J26" i="8"/>
  <c r="J1914" i="35"/>
  <c r="K26" i="8"/>
  <c r="K1914" i="35" s="1"/>
  <c r="C27" i="8"/>
  <c r="C1915" i="35"/>
  <c r="D27" i="8"/>
  <c r="D1915" i="35" s="1"/>
  <c r="E27" i="8"/>
  <c r="E1915" i="35"/>
  <c r="F27" i="8"/>
  <c r="F1915" i="35" s="1"/>
  <c r="G27" i="8"/>
  <c r="G1915" i="35"/>
  <c r="H27" i="8"/>
  <c r="H1915" i="35" s="1"/>
  <c r="I27" i="8"/>
  <c r="I1915" i="35"/>
  <c r="J27" i="8"/>
  <c r="J1915" i="35" s="1"/>
  <c r="K27" i="8"/>
  <c r="K1915" i="35"/>
  <c r="C28" i="8"/>
  <c r="C1916" i="35" s="1"/>
  <c r="D28" i="8"/>
  <c r="D1916" i="35"/>
  <c r="E28" i="8"/>
  <c r="E1916" i="35" s="1"/>
  <c r="F28" i="8"/>
  <c r="F1916" i="35"/>
  <c r="G28" i="8"/>
  <c r="G1916" i="35" s="1"/>
  <c r="H28" i="8"/>
  <c r="H1916" i="35"/>
  <c r="I28" i="8"/>
  <c r="I1916" i="35" s="1"/>
  <c r="J28" i="8"/>
  <c r="J1916" i="35"/>
  <c r="K28" i="8"/>
  <c r="K1916" i="35" s="1"/>
  <c r="F31" i="8"/>
  <c r="F1919" i="35" s="1"/>
  <c r="B26" i="8"/>
  <c r="B1914" i="35" s="1"/>
  <c r="B27" i="8"/>
  <c r="B1915" i="35" s="1"/>
  <c r="B28" i="8"/>
  <c r="B1916" i="35" s="1"/>
  <c r="B1913"/>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C139"/>
  <c r="D118"/>
  <c r="E118"/>
  <c r="E139"/>
  <c r="F118"/>
  <c r="F139"/>
  <c r="B129"/>
  <c r="C129"/>
  <c r="C140" s="1"/>
  <c r="D129"/>
  <c r="E129"/>
  <c r="E140" s="1"/>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I105"/>
  <c r="G105"/>
  <c r="E105"/>
  <c r="C105"/>
  <c r="C59"/>
  <c r="D59"/>
  <c r="E59"/>
  <c r="F59"/>
  <c r="G59"/>
  <c r="H59"/>
  <c r="I59"/>
  <c r="J59"/>
  <c r="K59"/>
  <c r="B59"/>
  <c r="G120" i="36"/>
  <c r="B52" i="8"/>
  <c r="P120" i="36"/>
  <c r="K52" i="8"/>
  <c r="K70"/>
  <c r="O120" i="36"/>
  <c r="J52" i="8"/>
  <c r="J70"/>
  <c r="N120" i="36"/>
  <c r="I52" i="8"/>
  <c r="I70"/>
  <c r="M120" i="36"/>
  <c r="H52" i="8"/>
  <c r="H70"/>
  <c r="L120" i="36"/>
  <c r="G52" i="8"/>
  <c r="G70"/>
  <c r="K120" i="36"/>
  <c r="F52" i="8"/>
  <c r="F70"/>
  <c r="J120" i="36"/>
  <c r="E52" i="8"/>
  <c r="E70"/>
  <c r="I120" i="36"/>
  <c r="D52" i="8"/>
  <c r="D70"/>
  <c r="H120" i="36"/>
  <c r="C52" i="8"/>
  <c r="C70"/>
  <c r="C24"/>
  <c r="D24"/>
  <c r="E24"/>
  <c r="F24"/>
  <c r="G24"/>
  <c r="H24"/>
  <c r="I24"/>
  <c r="J24"/>
  <c r="K24"/>
  <c r="B24"/>
  <c r="B38"/>
  <c r="G109" i="36"/>
  <c r="B17" i="8"/>
  <c r="B35"/>
  <c r="H109" i="36"/>
  <c r="C17" i="8"/>
  <c r="C35"/>
  <c r="I109" i="36"/>
  <c r="D17" i="8"/>
  <c r="D35"/>
  <c r="J109" i="36"/>
  <c r="E17" i="8"/>
  <c r="E35"/>
  <c r="K109" i="36"/>
  <c r="F17" i="8"/>
  <c r="F35"/>
  <c r="L109" i="36"/>
  <c r="G17" i="8"/>
  <c r="G35"/>
  <c r="M109" i="36"/>
  <c r="H17" i="8"/>
  <c r="H35"/>
  <c r="N109" i="36"/>
  <c r="I17" i="8"/>
  <c r="I35"/>
  <c r="O109" i="36"/>
  <c r="J17" i="8"/>
  <c r="J35"/>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I104"/>
  <c r="G104"/>
  <c r="E104"/>
  <c r="C104"/>
  <c r="K69"/>
  <c r="J69"/>
  <c r="I69"/>
  <c r="H69"/>
  <c r="G69"/>
  <c r="F69"/>
  <c r="E69"/>
  <c r="D69"/>
  <c r="C69"/>
  <c r="B69"/>
  <c r="C34"/>
  <c r="D34"/>
  <c r="E34"/>
  <c r="F34"/>
  <c r="G34"/>
  <c r="H34"/>
  <c r="I34"/>
  <c r="J34"/>
  <c r="K34"/>
  <c r="B34"/>
  <c r="GH10" i="36"/>
  <c r="GC10"/>
  <c r="FX10"/>
  <c r="FS10"/>
  <c r="GL10"/>
  <c r="GK10"/>
  <c r="GJ10"/>
  <c r="GI10"/>
  <c r="GG10"/>
  <c r="GF10"/>
  <c r="GE10"/>
  <c r="GD10"/>
  <c r="GL48"/>
  <c r="GB10"/>
  <c r="GA10"/>
  <c r="FZ10"/>
  <c r="FY10"/>
  <c r="FX48"/>
  <c r="FW10"/>
  <c r="FV10"/>
  <c r="FV48" s="1"/>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Y92" s="1"/>
  <c r="AL48"/>
  <c r="K60" s="1"/>
  <c r="AJ48"/>
  <c r="Z60" s="1"/>
  <c r="AC48"/>
  <c r="L58" s="1"/>
  <c r="AB48"/>
  <c r="AB58" s="1"/>
  <c r="AA48"/>
  <c r="J58" s="1"/>
  <c r="Z48"/>
  <c r="Z58" s="1"/>
  <c r="Y48"/>
  <c r="H58" s="1"/>
  <c r="M123" i="15"/>
  <c r="M140" s="1"/>
  <c r="M142" s="1"/>
  <c r="M144" s="1"/>
  <c r="O38" i="11"/>
  <c r="O2530" i="35" s="1"/>
  <c r="O2532"/>
  <c r="P38" i="11"/>
  <c r="P2532" i="35"/>
  <c r="A3"/>
  <c r="A354"/>
  <c r="A414"/>
  <c r="A471"/>
  <c r="G471"/>
  <c r="A959"/>
  <c r="A1008"/>
  <c r="I1675"/>
  <c r="R2672"/>
  <c r="P2530"/>
  <c r="P2786"/>
  <c r="P2498" s="1"/>
  <c r="J1650" l="1"/>
  <c r="J1651" s="1"/>
  <c r="J1653" s="1"/>
  <c r="B1910"/>
  <c r="B1928"/>
  <c r="C1928"/>
  <c r="D1928"/>
  <c r="E1928"/>
  <c r="F1928"/>
  <c r="G1928"/>
  <c r="H1928"/>
  <c r="I1928"/>
  <c r="J1928"/>
  <c r="K1928"/>
  <c r="B1963"/>
  <c r="C1963"/>
  <c r="D1963"/>
  <c r="E1963"/>
  <c r="F1963"/>
  <c r="G1963"/>
  <c r="H1963"/>
  <c r="I1963"/>
  <c r="J1963"/>
  <c r="K1963"/>
  <c r="B1998"/>
  <c r="C1998"/>
  <c r="D1998"/>
  <c r="E1998"/>
  <c r="F1998"/>
  <c r="G1998"/>
  <c r="H1998"/>
  <c r="I1998"/>
  <c r="J1998"/>
  <c r="K1998"/>
  <c r="B2033"/>
  <c r="C2033"/>
  <c r="D2033"/>
  <c r="E2033"/>
  <c r="F2033"/>
  <c r="K1730"/>
  <c r="A1726"/>
  <c r="C41" i="8"/>
  <c r="B1535" i="35"/>
  <c r="J1654"/>
  <c r="G1570"/>
  <c r="L1730"/>
  <c r="P1731"/>
  <c r="O2786"/>
  <c r="O2498" s="1"/>
  <c r="O294" i="11"/>
  <c r="O6" s="1"/>
  <c r="C30" i="8"/>
  <c r="J31"/>
  <c r="J1919" i="35" s="1"/>
  <c r="C1919"/>
  <c r="E66" i="8"/>
  <c r="E1954" i="35" s="1"/>
  <c r="I66" i="8"/>
  <c r="J154" i="15"/>
  <c r="J155" s="1"/>
  <c r="J157" s="1"/>
  <c r="J159" s="1"/>
  <c r="H31" i="8"/>
  <c r="H1919" i="35" s="1"/>
  <c r="D1919"/>
  <c r="B66" i="8"/>
  <c r="B1954" i="35" s="1"/>
  <c r="D66" i="8"/>
  <c r="F66"/>
  <c r="F1954" i="35" s="1"/>
  <c r="H66" i="8"/>
  <c r="H1954" i="35" s="1"/>
  <c r="J66" i="8"/>
  <c r="J1954" i="35" s="1"/>
  <c r="B101" i="8"/>
  <c r="D101"/>
  <c r="D1989" i="35" s="1"/>
  <c r="F101" i="8"/>
  <c r="F1989" i="35" s="1"/>
  <c r="H101" i="8"/>
  <c r="H1989" i="35" s="1"/>
  <c r="C101" i="8"/>
  <c r="C1989" i="35" s="1"/>
  <c r="E101" i="8"/>
  <c r="E1989" i="35" s="1"/>
  <c r="G101" i="8"/>
  <c r="G1989" i="35" s="1"/>
  <c r="I101" i="8"/>
  <c r="I1989" i="35" s="1"/>
  <c r="F2024"/>
  <c r="K31" i="8"/>
  <c r="I31"/>
  <c r="G31"/>
  <c r="C1954" i="35"/>
  <c r="D1954"/>
  <c r="G1954"/>
  <c r="I1954"/>
  <c r="K1954"/>
  <c r="B1989"/>
  <c r="C136" i="8"/>
  <c r="E136"/>
  <c r="M390" i="35"/>
  <c r="J101" i="8"/>
  <c r="K101"/>
  <c r="B136"/>
  <c r="D136"/>
  <c r="D95"/>
  <c r="D1983" i="35" s="1"/>
  <c r="F95" i="8"/>
  <c r="F1983" i="35" s="1"/>
  <c r="F1995" s="1"/>
  <c r="G95" i="8"/>
  <c r="I95"/>
  <c r="I1983" i="35" s="1"/>
  <c r="C130" i="8"/>
  <c r="C2018" i="35" s="1"/>
  <c r="B39" i="8"/>
  <c r="B1926" i="35"/>
  <c r="E1913"/>
  <c r="G1948"/>
  <c r="B95" i="8"/>
  <c r="B1983" i="35" s="1"/>
  <c r="B1995" s="1"/>
  <c r="C95" i="8"/>
  <c r="E95"/>
  <c r="E1983" i="35" s="1"/>
  <c r="H95" i="8"/>
  <c r="H1983" i="35" s="1"/>
  <c r="B130" i="8"/>
  <c r="B2018" i="35" s="1"/>
  <c r="B2029" s="1"/>
  <c r="F130" i="8"/>
  <c r="I1913" i="35"/>
  <c r="I1924" s="1"/>
  <c r="C1948"/>
  <c r="K1948"/>
  <c r="J95" i="8"/>
  <c r="K95"/>
  <c r="D130"/>
  <c r="E130"/>
  <c r="B42"/>
  <c r="B1930" i="35" s="1"/>
  <c r="F106" i="15"/>
  <c r="P158" i="36"/>
  <c r="B19" i="8" s="1"/>
  <c r="I89" s="1"/>
  <c r="Q15" i="36"/>
  <c r="Q1730" i="35" s="1"/>
  <c r="A1730"/>
  <c r="P1729"/>
  <c r="Q13" i="36"/>
  <c r="Q1728" i="35" s="1"/>
  <c r="P1727"/>
  <c r="Q11" i="36"/>
  <c r="Q1726" i="35" s="1"/>
  <c r="P1725"/>
  <c r="L48" i="36"/>
  <c r="L49" s="1"/>
  <c r="G102" s="1"/>
  <c r="L1763" i="35"/>
  <c r="L1764" s="1"/>
  <c r="G1817" s="1"/>
  <c r="B14" i="8"/>
  <c r="CS48" i="36"/>
  <c r="GB48"/>
  <c r="GJ48"/>
  <c r="GH48"/>
  <c r="FZ48"/>
  <c r="FT48"/>
  <c r="CQ48"/>
  <c r="Y58"/>
  <c r="AM48"/>
  <c r="L60" s="1"/>
  <c r="AK48"/>
  <c r="J60" s="1"/>
  <c r="AI48"/>
  <c r="H60" s="1"/>
  <c r="X48"/>
  <c r="L57" s="1"/>
  <c r="L59" s="1"/>
  <c r="W48"/>
  <c r="K57" s="1"/>
  <c r="V48"/>
  <c r="J57" s="1"/>
  <c r="U48"/>
  <c r="I57" s="1"/>
  <c r="T48"/>
  <c r="H57" s="1"/>
  <c r="CU48"/>
  <c r="CV48"/>
  <c r="Y97" s="1"/>
  <c r="FP1763" i="35"/>
  <c r="AA1802" s="1"/>
  <c r="FF1763"/>
  <c r="AA1804" s="1"/>
  <c r="FM48" i="36"/>
  <c r="L88" s="1"/>
  <c r="H97"/>
  <c r="GK48"/>
  <c r="GI48"/>
  <c r="GE48"/>
  <c r="GC48"/>
  <c r="GA48"/>
  <c r="FY48"/>
  <c r="FW48"/>
  <c r="FU48"/>
  <c r="FS48"/>
  <c r="EV48"/>
  <c r="J85" s="1"/>
  <c r="CT48"/>
  <c r="CR48"/>
  <c r="CZ48"/>
  <c r="AC97" s="1"/>
  <c r="AY48"/>
  <c r="I65" s="1"/>
  <c r="AW48"/>
  <c r="L66" s="1"/>
  <c r="FJ1763" i="35"/>
  <c r="Z1803" s="1"/>
  <c r="CV1763"/>
  <c r="Y1812" s="1"/>
  <c r="FG48" i="36"/>
  <c r="K89" s="1"/>
  <c r="FR48"/>
  <c r="L87" s="1"/>
  <c r="FN48"/>
  <c r="H87" s="1"/>
  <c r="EZ48"/>
  <c r="I86" s="1"/>
  <c r="BS48"/>
  <c r="Z62" s="1"/>
  <c r="CU1763" i="35"/>
  <c r="FZ1763"/>
  <c r="GH1763"/>
  <c r="EU1763"/>
  <c r="I1800" s="1"/>
  <c r="FA1763"/>
  <c r="AA1801" s="1"/>
  <c r="FR1763"/>
  <c r="AC1802" s="1"/>
  <c r="GG48" i="36"/>
  <c r="FN1763" i="35"/>
  <c r="Y1802" s="1"/>
  <c r="FL1763"/>
  <c r="AB1803" s="1"/>
  <c r="I62" i="36"/>
  <c r="GF48"/>
  <c r="GD48"/>
  <c r="FI48"/>
  <c r="H88" s="1"/>
  <c r="CY48"/>
  <c r="K97" s="1"/>
  <c r="CX48"/>
  <c r="AA97" s="1"/>
  <c r="CW48"/>
  <c r="I97" s="1"/>
  <c r="CQ1763" i="35"/>
  <c r="CS1763"/>
  <c r="CT1763"/>
  <c r="GB1763"/>
  <c r="GC1763"/>
  <c r="GD1763"/>
  <c r="GF1763"/>
  <c r="GG1763"/>
  <c r="FK1763"/>
  <c r="AA1803" s="1"/>
  <c r="ET1763"/>
  <c r="Y1800" s="1"/>
  <c r="FC1763"/>
  <c r="AC1801" s="1"/>
  <c r="FB1763"/>
  <c r="AB1801" s="1"/>
  <c r="BV48" i="36"/>
  <c r="L62" s="1"/>
  <c r="BU48"/>
  <c r="K62" s="1"/>
  <c r="BT48"/>
  <c r="J62" s="1"/>
  <c r="FI1763" i="35"/>
  <c r="H1803" s="1"/>
  <c r="J1804"/>
  <c r="FE1763"/>
  <c r="I1804" s="1"/>
  <c r="FD1763"/>
  <c r="H1804" s="1"/>
  <c r="BR1763"/>
  <c r="Y1777" s="1"/>
  <c r="EV1763"/>
  <c r="J1800" s="1"/>
  <c r="FP48" i="36"/>
  <c r="AA87" s="1"/>
  <c r="FT1763" i="35"/>
  <c r="FU1763"/>
  <c r="FV1763"/>
  <c r="FX1763"/>
  <c r="FY1763"/>
  <c r="GJ1763"/>
  <c r="GK1763"/>
  <c r="GL1763"/>
  <c r="FQ1763"/>
  <c r="K1802" s="1"/>
  <c r="FM1763"/>
  <c r="AC1803" s="1"/>
  <c r="BV1763"/>
  <c r="AC1777" s="1"/>
  <c r="BT1763"/>
  <c r="J1777" s="1"/>
  <c r="BR48" i="36"/>
  <c r="Y62" s="1"/>
  <c r="EX1763" i="35"/>
  <c r="AC1800" s="1"/>
  <c r="EW1763"/>
  <c r="AB1800" s="1"/>
  <c r="EZ1763"/>
  <c r="Z1801" s="1"/>
  <c r="EY1763"/>
  <c r="H1801" s="1"/>
  <c r="FO1763"/>
  <c r="I1802" s="1"/>
  <c r="FH1763"/>
  <c r="AC1804" s="1"/>
  <c r="FG1763"/>
  <c r="AB1804" s="1"/>
  <c r="CZ1763"/>
  <c r="AC1812" s="1"/>
  <c r="CX1763"/>
  <c r="AA1812" s="1"/>
  <c r="AB1802"/>
  <c r="Y1803"/>
  <c r="J97" i="36"/>
  <c r="J1803" i="35"/>
  <c r="H1802"/>
  <c r="I1803"/>
  <c r="FK48" i="36"/>
  <c r="J88" s="1"/>
  <c r="FB48"/>
  <c r="K86" s="1"/>
  <c r="EY48"/>
  <c r="Y86" s="1"/>
  <c r="EW48"/>
  <c r="K85" s="1"/>
  <c r="ET48"/>
  <c r="H85" s="1"/>
  <c r="AC62"/>
  <c r="H1800" i="35"/>
  <c r="Z1804"/>
  <c r="AA1800"/>
  <c r="K1801"/>
  <c r="FH48" i="36"/>
  <c r="AC89" s="1"/>
  <c r="FE48"/>
  <c r="Z89" s="1"/>
  <c r="FL48"/>
  <c r="AB88" s="1"/>
  <c r="FJ48"/>
  <c r="Z88" s="1"/>
  <c r="FC48"/>
  <c r="AC86" s="1"/>
  <c r="FA48"/>
  <c r="AA86" s="1"/>
  <c r="EX48"/>
  <c r="L85" s="1"/>
  <c r="EU48"/>
  <c r="Z85" s="1"/>
  <c r="FF48"/>
  <c r="AA89" s="1"/>
  <c r="FD48"/>
  <c r="Y89" s="1"/>
  <c r="FQ48"/>
  <c r="AB87" s="1"/>
  <c r="FO48"/>
  <c r="Z87" s="1"/>
  <c r="I89"/>
  <c r="J87"/>
  <c r="AA88"/>
  <c r="Y87"/>
  <c r="CW1763" i="35"/>
  <c r="BU1763"/>
  <c r="AB85" i="36"/>
  <c r="H86"/>
  <c r="AC87"/>
  <c r="Z86"/>
  <c r="AA85"/>
  <c r="Y85"/>
  <c r="AB89"/>
  <c r="AC88"/>
  <c r="CR1763" i="35"/>
  <c r="FS1763"/>
  <c r="FW1763"/>
  <c r="GA1763"/>
  <c r="GE1763"/>
  <c r="GI1763"/>
  <c r="CY1763"/>
  <c r="BS1763"/>
  <c r="BA48" i="36"/>
  <c r="K65" s="1"/>
  <c r="AU48"/>
  <c r="AA66" s="1"/>
  <c r="AS48"/>
  <c r="H66" s="1"/>
  <c r="AQ48"/>
  <c r="AO48"/>
  <c r="DX48"/>
  <c r="AB77" s="1"/>
  <c r="EJ48"/>
  <c r="H80" s="1"/>
  <c r="K77"/>
  <c r="DH48"/>
  <c r="J74" s="1"/>
  <c r="DB48"/>
  <c r="I73" s="1"/>
  <c r="ED48"/>
  <c r="AD1763" i="35"/>
  <c r="AQ1763"/>
  <c r="CH1763"/>
  <c r="AC58" i="36"/>
  <c r="AC66"/>
  <c r="AM1763" i="35"/>
  <c r="L1775" s="1"/>
  <c r="AL1763"/>
  <c r="K1775" s="1"/>
  <c r="AB60" i="36"/>
  <c r="AA58"/>
  <c r="AH48"/>
  <c r="AD48"/>
  <c r="GV48"/>
  <c r="GR48"/>
  <c r="DN48"/>
  <c r="BL48"/>
  <c r="AC70" s="1"/>
  <c r="BQ48"/>
  <c r="AC69" s="1"/>
  <c r="CI48"/>
  <c r="DR48"/>
  <c r="J76" s="1"/>
  <c r="DZ48"/>
  <c r="EN48"/>
  <c r="L80" s="1"/>
  <c r="EH48"/>
  <c r="K79" s="1"/>
  <c r="EP48"/>
  <c r="GP1763" i="35"/>
  <c r="GX1763"/>
  <c r="HF1763"/>
  <c r="AU1763"/>
  <c r="AA1781" s="1"/>
  <c r="BQ1763"/>
  <c r="AC1784" s="1"/>
  <c r="DO1763"/>
  <c r="DS1763"/>
  <c r="AB1791" s="1"/>
  <c r="ER1763"/>
  <c r="EF1763"/>
  <c r="Z1794" s="1"/>
  <c r="AK1763"/>
  <c r="J1775" s="1"/>
  <c r="AA1763"/>
  <c r="J1773" s="1"/>
  <c r="H92" i="36"/>
  <c r="I60"/>
  <c r="M60" s="1"/>
  <c r="H81" i="35" s="1"/>
  <c r="K58" i="36"/>
  <c r="I58"/>
  <c r="I59" s="1"/>
  <c r="I61" s="1"/>
  <c r="I63" s="1"/>
  <c r="CF48"/>
  <c r="AC93" s="1"/>
  <c r="CE48"/>
  <c r="K93" s="1"/>
  <c r="CD48"/>
  <c r="AA93" s="1"/>
  <c r="CC48"/>
  <c r="I93" s="1"/>
  <c r="CK48"/>
  <c r="CJ48"/>
  <c r="AG48"/>
  <c r="AF48"/>
  <c r="AE48"/>
  <c r="HA48"/>
  <c r="GZ48"/>
  <c r="GY48"/>
  <c r="GX48"/>
  <c r="GW48"/>
  <c r="HC48"/>
  <c r="HB48"/>
  <c r="HK48"/>
  <c r="HJ48"/>
  <c r="HI48"/>
  <c r="GP48"/>
  <c r="GO48"/>
  <c r="GN48"/>
  <c r="GM48"/>
  <c r="DG48"/>
  <c r="Z74" s="1"/>
  <c r="ER48"/>
  <c r="EM48"/>
  <c r="K80" s="1"/>
  <c r="EO48"/>
  <c r="BM48"/>
  <c r="Y69" s="1"/>
  <c r="BH48"/>
  <c r="Y70" s="1"/>
  <c r="CO48"/>
  <c r="K95" s="1"/>
  <c r="CM48"/>
  <c r="Z95" s="1"/>
  <c r="CB48"/>
  <c r="H93" s="1"/>
  <c r="BE1763" i="35"/>
  <c r="BG1763"/>
  <c r="GN1763"/>
  <c r="GZ1763"/>
  <c r="HB1763"/>
  <c r="HD1763"/>
  <c r="BB1763"/>
  <c r="AC1780" s="1"/>
  <c r="BO1763"/>
  <c r="AA1784" s="1"/>
  <c r="BH1763"/>
  <c r="H1785" s="1"/>
  <c r="BM1763"/>
  <c r="H1784" s="1"/>
  <c r="EG1763"/>
  <c r="AA1794" s="1"/>
  <c r="EP1763"/>
  <c r="EK1763"/>
  <c r="Z1795" s="1"/>
  <c r="AC1763"/>
  <c r="AC1773" s="1"/>
  <c r="X1763"/>
  <c r="AC1772" s="1"/>
  <c r="GS48" i="36"/>
  <c r="DD48"/>
  <c r="K73" s="1"/>
  <c r="DM48"/>
  <c r="DF48"/>
  <c r="H74" s="1"/>
  <c r="DA48"/>
  <c r="Y73" s="1"/>
  <c r="DS48"/>
  <c r="AB76" s="1"/>
  <c r="EB48"/>
  <c r="DW48"/>
  <c r="J77" s="1"/>
  <c r="ES48"/>
  <c r="EL48"/>
  <c r="J80" s="1"/>
  <c r="EG48"/>
  <c r="J79" s="1"/>
  <c r="BL1763" i="35"/>
  <c r="AC1785" s="1"/>
  <c r="DK1763"/>
  <c r="DF1763"/>
  <c r="H1789" s="1"/>
  <c r="DA1763"/>
  <c r="Y1788" s="1"/>
  <c r="ED1763"/>
  <c r="DY1763"/>
  <c r="L1792" s="1"/>
  <c r="DT1763"/>
  <c r="L1791" s="1"/>
  <c r="EC1763"/>
  <c r="DX1763"/>
  <c r="K1792" s="1"/>
  <c r="ES1763"/>
  <c r="EN1763"/>
  <c r="AC1795" s="1"/>
  <c r="EI1763"/>
  <c r="AC1794" s="1"/>
  <c r="DE48" i="36"/>
  <c r="L73" s="1"/>
  <c r="DL48"/>
  <c r="EC48"/>
  <c r="BJ1763" i="35"/>
  <c r="J1785" s="1"/>
  <c r="AC60" i="36"/>
  <c r="AA60"/>
  <c r="Y60"/>
  <c r="AC57"/>
  <c r="AB57"/>
  <c r="AA57"/>
  <c r="Z57"/>
  <c r="Z59" s="1"/>
  <c r="Z61" s="1"/>
  <c r="Y57"/>
  <c r="Y59" s="1"/>
  <c r="EQ48"/>
  <c r="BI48"/>
  <c r="I70" s="1"/>
  <c r="AO1763" i="35"/>
  <c r="GV1763"/>
  <c r="CH48" i="36"/>
  <c r="CG48"/>
  <c r="DO48"/>
  <c r="DJ48"/>
  <c r="L74" s="1"/>
  <c r="DC48"/>
  <c r="J73" s="1"/>
  <c r="DY48"/>
  <c r="AC77" s="1"/>
  <c r="DT48"/>
  <c r="L76" s="1"/>
  <c r="EA48"/>
  <c r="DV48"/>
  <c r="Z77" s="1"/>
  <c r="DQ48"/>
  <c r="I76" s="1"/>
  <c r="EI48"/>
  <c r="AC79" s="1"/>
  <c r="EK48"/>
  <c r="Z80" s="1"/>
  <c r="EF48"/>
  <c r="I79" s="1"/>
  <c r="BB48"/>
  <c r="L65" s="1"/>
  <c r="AZ48"/>
  <c r="AA65" s="1"/>
  <c r="AX48"/>
  <c r="H65" s="1"/>
  <c r="AV48"/>
  <c r="K66" s="1"/>
  <c r="AT48"/>
  <c r="I66" s="1"/>
  <c r="I67" s="1"/>
  <c r="AR48"/>
  <c r="AP48"/>
  <c r="AN48"/>
  <c r="BP48"/>
  <c r="K69" s="1"/>
  <c r="BO48"/>
  <c r="J69" s="1"/>
  <c r="BN48"/>
  <c r="Z69" s="1"/>
  <c r="BC1763" i="35"/>
  <c r="AW1763"/>
  <c r="AC1781" s="1"/>
  <c r="EB1763"/>
  <c r="DW1763"/>
  <c r="AA1792" s="1"/>
  <c r="DR1763"/>
  <c r="J1791" s="1"/>
  <c r="EA1763"/>
  <c r="DV1763"/>
  <c r="I1792" s="1"/>
  <c r="DQ1763"/>
  <c r="Z1791" s="1"/>
  <c r="DZ1763"/>
  <c r="DU1763"/>
  <c r="Y1792" s="1"/>
  <c r="DP1763"/>
  <c r="H1791" s="1"/>
  <c r="EM1763"/>
  <c r="AB1795" s="1"/>
  <c r="EH1763"/>
  <c r="K1794" s="1"/>
  <c r="EQ1763"/>
  <c r="EL1763"/>
  <c r="AA1795" s="1"/>
  <c r="CD1763"/>
  <c r="J1808" s="1"/>
  <c r="BY1763"/>
  <c r="J1807" s="1"/>
  <c r="CM1763"/>
  <c r="Z1810" s="1"/>
  <c r="Y1763"/>
  <c r="H1773" s="1"/>
  <c r="T1763"/>
  <c r="H1772" s="1"/>
  <c r="GU48" i="36"/>
  <c r="GT48"/>
  <c r="DI48"/>
  <c r="K74" s="1"/>
  <c r="K75" s="1"/>
  <c r="DK48"/>
  <c r="DU48"/>
  <c r="Y77" s="1"/>
  <c r="DP48"/>
  <c r="H76" s="1"/>
  <c r="EE48"/>
  <c r="H79" s="1"/>
  <c r="H81" s="1"/>
  <c r="BF48"/>
  <c r="BK48"/>
  <c r="AB70" s="1"/>
  <c r="BJ48"/>
  <c r="AA70" s="1"/>
  <c r="AF1763" i="35"/>
  <c r="AH1763"/>
  <c r="CJ1763"/>
  <c r="GR1763"/>
  <c r="GT1763"/>
  <c r="HH1763"/>
  <c r="HJ1763"/>
  <c r="AZ1763"/>
  <c r="AA1780" s="1"/>
  <c r="AA1782" s="1"/>
  <c r="AT1763"/>
  <c r="I1781" s="1"/>
  <c r="AY1763"/>
  <c r="Z1780" s="1"/>
  <c r="DJ1763"/>
  <c r="L1789" s="1"/>
  <c r="DE1763"/>
  <c r="AC1788" s="1"/>
  <c r="DN1763"/>
  <c r="DI1763"/>
  <c r="AB1789" s="1"/>
  <c r="DD1763"/>
  <c r="K1788" s="1"/>
  <c r="DM1763"/>
  <c r="DH1763"/>
  <c r="J1789" s="1"/>
  <c r="DC1763"/>
  <c r="AA1788" s="1"/>
  <c r="DL1763"/>
  <c r="DG1763"/>
  <c r="Z1789" s="1"/>
  <c r="DB1763"/>
  <c r="I1788" s="1"/>
  <c r="EO1763"/>
  <c r="EJ1763"/>
  <c r="Y1795" s="1"/>
  <c r="EE1763"/>
  <c r="H1794" s="1"/>
  <c r="CP1763"/>
  <c r="L1810" s="1"/>
  <c r="CF1763"/>
  <c r="L1808" s="1"/>
  <c r="CA1763"/>
  <c r="L1807" s="1"/>
  <c r="CO1763"/>
  <c r="AB1810" s="1"/>
  <c r="CB1763"/>
  <c r="H1808" s="1"/>
  <c r="BW1763"/>
  <c r="Y1807" s="1"/>
  <c r="V1763"/>
  <c r="AA1772" s="1"/>
  <c r="AJ1763"/>
  <c r="I1775" s="1"/>
  <c r="I77" i="36"/>
  <c r="J1792" i="35"/>
  <c r="AA1807"/>
  <c r="Y74" i="36"/>
  <c r="Y76"/>
  <c r="Z1781" i="35"/>
  <c r="AC1792"/>
  <c r="AB59" i="36"/>
  <c r="AB61" s="1"/>
  <c r="A48"/>
  <c r="A7" s="1"/>
  <c r="BC48"/>
  <c r="BE48"/>
  <c r="BG48"/>
  <c r="H73"/>
  <c r="Z76"/>
  <c r="AA79"/>
  <c r="J65"/>
  <c r="Y65"/>
  <c r="AB66"/>
  <c r="Z70"/>
  <c r="AA1785" i="35"/>
  <c r="AA1786" s="1"/>
  <c r="Z1788"/>
  <c r="Z1792"/>
  <c r="K1795"/>
  <c r="L1772"/>
  <c r="AB74" i="36"/>
  <c r="K76"/>
  <c r="K78" s="1"/>
  <c r="L79"/>
  <c r="L81" s="1"/>
  <c r="Y1785" i="35"/>
  <c r="AB1788"/>
  <c r="AB1792"/>
  <c r="L1794"/>
  <c r="AC1808"/>
  <c r="J1772"/>
  <c r="AC59" i="36"/>
  <c r="J59"/>
  <c r="J61" s="1"/>
  <c r="AA74"/>
  <c r="AA76"/>
  <c r="AC80"/>
  <c r="Z79"/>
  <c r="AB65"/>
  <c r="HF48"/>
  <c r="HE48"/>
  <c r="HD48"/>
  <c r="HH48"/>
  <c r="HG48"/>
  <c r="GQ48"/>
  <c r="BD48"/>
  <c r="CP48"/>
  <c r="L95" s="1"/>
  <c r="CN48"/>
  <c r="J95" s="1"/>
  <c r="CL48"/>
  <c r="H95" s="1"/>
  <c r="CA48"/>
  <c r="AC92" s="1"/>
  <c r="AC94" s="1"/>
  <c r="BZ48"/>
  <c r="K92" s="1"/>
  <c r="BY48"/>
  <c r="AA92" s="1"/>
  <c r="AA94" s="1"/>
  <c r="BX48"/>
  <c r="I92" s="1"/>
  <c r="AC1775" i="35"/>
  <c r="AA1775"/>
  <c r="H1788"/>
  <c r="H59" i="36"/>
  <c r="AE1763" i="35"/>
  <c r="AN1763"/>
  <c r="AR1763"/>
  <c r="BF1763"/>
  <c r="CI1763"/>
  <c r="GM1763"/>
  <c r="GQ1763"/>
  <c r="GU1763"/>
  <c r="GY1763"/>
  <c r="HC1763"/>
  <c r="HG1763"/>
  <c r="HK1763"/>
  <c r="AX1763"/>
  <c r="AI1763"/>
  <c r="CN1763"/>
  <c r="J1810" s="1"/>
  <c r="CL1763"/>
  <c r="Y1810" s="1"/>
  <c r="BK1763"/>
  <c r="AB1785" s="1"/>
  <c r="BP1763"/>
  <c r="AB1784" s="1"/>
  <c r="BI1763"/>
  <c r="Z1785" s="1"/>
  <c r="BN1763"/>
  <c r="Z1784" s="1"/>
  <c r="CE1763"/>
  <c r="K1808" s="1"/>
  <c r="BZ1763"/>
  <c r="AB1807" s="1"/>
  <c r="CC1763"/>
  <c r="Z1808" s="1"/>
  <c r="BX1763"/>
  <c r="I1807" s="1"/>
  <c r="A1763"/>
  <c r="A1722" s="1"/>
  <c r="AG1763"/>
  <c r="AP1763"/>
  <c r="BD1763"/>
  <c r="CG1763"/>
  <c r="CK1763"/>
  <c r="GO1763"/>
  <c r="GS1763"/>
  <c r="GW1763"/>
  <c r="HA1763"/>
  <c r="HE1763"/>
  <c r="HI1763"/>
  <c r="AV1763"/>
  <c r="AB1781" s="1"/>
  <c r="BA1763"/>
  <c r="K1780" s="1"/>
  <c r="AS1763"/>
  <c r="AB1763"/>
  <c r="W1763"/>
  <c r="Z1763"/>
  <c r="U1763"/>
  <c r="C109" i="15"/>
  <c r="J123"/>
  <c r="J140" s="1"/>
  <c r="J142" s="1"/>
  <c r="J144" s="1"/>
  <c r="S123"/>
  <c r="G1619" i="35"/>
  <c r="L26" i="3"/>
  <c r="L27" s="1"/>
  <c r="J1619" i="35"/>
  <c r="J1636" s="1"/>
  <c r="J1638" s="1"/>
  <c r="J1640" s="1"/>
  <c r="E33" i="15"/>
  <c r="F108"/>
  <c r="M1619" i="35"/>
  <c r="M1636" s="1"/>
  <c r="M1638" s="1"/>
  <c r="M1640" s="1"/>
  <c r="S1619"/>
  <c r="P1619"/>
  <c r="P1636" s="1"/>
  <c r="P1638" s="1"/>
  <c r="P1640" s="1"/>
  <c r="G123" i="15"/>
  <c r="H50" i="3" s="1"/>
  <c r="L379" i="35"/>
  <c r="L380" s="1"/>
  <c r="B89" i="8"/>
  <c r="E89"/>
  <c r="G54"/>
  <c r="F19"/>
  <c r="C124"/>
  <c r="J89"/>
  <c r="B54"/>
  <c r="D54"/>
  <c r="I19"/>
  <c r="P1873" i="35"/>
  <c r="D1994"/>
  <c r="D1995"/>
  <c r="D1996"/>
  <c r="D1997"/>
  <c r="H1994"/>
  <c r="H1995"/>
  <c r="H1996"/>
  <c r="H1997"/>
  <c r="AB1780"/>
  <c r="B2031"/>
  <c r="B1924"/>
  <c r="B1994"/>
  <c r="B1996"/>
  <c r="F1994"/>
  <c r="F1996"/>
  <c r="B1927"/>
  <c r="B1925"/>
  <c r="I1927"/>
  <c r="B2032"/>
  <c r="Y1804"/>
  <c r="AC1810"/>
  <c r="AB1812"/>
  <c r="K1812"/>
  <c r="AA1810"/>
  <c r="Z1812"/>
  <c r="I1812"/>
  <c r="K1785"/>
  <c r="I1784"/>
  <c r="D41" i="8"/>
  <c r="D1929" i="35" s="1"/>
  <c r="C1929"/>
  <c r="B37" i="8"/>
  <c r="B70"/>
  <c r="B72"/>
  <c r="F142"/>
  <c r="E141"/>
  <c r="C141"/>
  <c r="L1812" i="35"/>
  <c r="B93" i="8"/>
  <c r="D93"/>
  <c r="F93"/>
  <c r="H93"/>
  <c r="J93"/>
  <c r="B128"/>
  <c r="D128"/>
  <c r="L1800" i="35"/>
  <c r="L1802"/>
  <c r="AB95" i="36"/>
  <c r="I95"/>
  <c r="L93"/>
  <c r="L92"/>
  <c r="J93"/>
  <c r="Y93"/>
  <c r="J1655" i="35" l="1"/>
  <c r="AD1803"/>
  <c r="B2030"/>
  <c r="F1997"/>
  <c r="B1997"/>
  <c r="C2029"/>
  <c r="C2032"/>
  <c r="C2031"/>
  <c r="J92" i="36"/>
  <c r="M92" s="1"/>
  <c r="AB93"/>
  <c r="AA95"/>
  <c r="L1804" i="35"/>
  <c r="L1801"/>
  <c r="Z1807"/>
  <c r="K1784"/>
  <c r="H70" i="36"/>
  <c r="L1784" i="35"/>
  <c r="L1780"/>
  <c r="J1795"/>
  <c r="Y1773"/>
  <c r="AB1775"/>
  <c r="AC61" i="36"/>
  <c r="AC63" s="1"/>
  <c r="Y1808" i="35"/>
  <c r="I1795"/>
  <c r="AA1791"/>
  <c r="Y1789"/>
  <c r="AC1789"/>
  <c r="Y79" i="36"/>
  <c r="H77"/>
  <c r="AA73"/>
  <c r="AA75" s="1"/>
  <c r="J1794" i="35"/>
  <c r="Y1791"/>
  <c r="Y1793" s="1"/>
  <c r="AC1791"/>
  <c r="AA1789"/>
  <c r="AA1790" s="1"/>
  <c r="AA77" i="36"/>
  <c r="AC73"/>
  <c r="AB73"/>
  <c r="AB1794" i="35"/>
  <c r="AA69" i="36"/>
  <c r="AA71" s="1"/>
  <c r="L67"/>
  <c r="Z73"/>
  <c r="AB86"/>
  <c r="Y88"/>
  <c r="K1800" i="35"/>
  <c r="AA62" i="36"/>
  <c r="K1803" i="35"/>
  <c r="J1802"/>
  <c r="Y1801"/>
  <c r="AD1801" s="1"/>
  <c r="C1918"/>
  <c r="D30" i="8"/>
  <c r="D2024" i="35"/>
  <c r="K1989"/>
  <c r="C2024"/>
  <c r="G1919"/>
  <c r="K1919"/>
  <c r="B2024"/>
  <c r="J1989"/>
  <c r="E2024"/>
  <c r="E1919"/>
  <c r="I1919"/>
  <c r="B1919"/>
  <c r="B1921" s="1"/>
  <c r="B46" i="8"/>
  <c r="E1924" i="35"/>
  <c r="E1927"/>
  <c r="F2018"/>
  <c r="F141" i="8"/>
  <c r="F143"/>
  <c r="F144"/>
  <c r="C107"/>
  <c r="C1983" i="35"/>
  <c r="C106" i="8"/>
  <c r="C108"/>
  <c r="C109"/>
  <c r="J1948" i="35"/>
  <c r="J73" i="8"/>
  <c r="J72"/>
  <c r="J74"/>
  <c r="E72"/>
  <c r="E74"/>
  <c r="E73"/>
  <c r="E1948" i="35"/>
  <c r="B1948"/>
  <c r="B73" i="8"/>
  <c r="G38"/>
  <c r="G1913" i="35"/>
  <c r="G37" i="8"/>
  <c r="G39"/>
  <c r="J1913" i="35"/>
  <c r="J37" i="8"/>
  <c r="J39"/>
  <c r="J38"/>
  <c r="C143"/>
  <c r="C144"/>
  <c r="C142"/>
  <c r="G1983" i="35"/>
  <c r="G106" i="8"/>
  <c r="G108"/>
  <c r="G109"/>
  <c r="G107"/>
  <c r="I1948" i="35"/>
  <c r="I72" i="8"/>
  <c r="I74"/>
  <c r="I73"/>
  <c r="F1948" i="35"/>
  <c r="F73" i="8"/>
  <c r="F72"/>
  <c r="F74"/>
  <c r="C1913" i="35"/>
  <c r="C38" i="8"/>
  <c r="C37"/>
  <c r="C39"/>
  <c r="F1913" i="35"/>
  <c r="F37" i="8"/>
  <c r="F39"/>
  <c r="F38"/>
  <c r="K1913" i="35"/>
  <c r="K38" i="8"/>
  <c r="K37"/>
  <c r="K39"/>
  <c r="E106"/>
  <c r="E107"/>
  <c r="E108"/>
  <c r="E109"/>
  <c r="G72"/>
  <c r="G74"/>
  <c r="G73"/>
  <c r="D1948" i="35"/>
  <c r="D73" i="8"/>
  <c r="D74"/>
  <c r="D72"/>
  <c r="E38"/>
  <c r="E37"/>
  <c r="E39"/>
  <c r="H1913" i="35"/>
  <c r="H37" i="8"/>
  <c r="H39"/>
  <c r="H38"/>
  <c r="I106"/>
  <c r="I107"/>
  <c r="I108"/>
  <c r="I109"/>
  <c r="K72"/>
  <c r="K74"/>
  <c r="K73"/>
  <c r="H1948" i="35"/>
  <c r="H73" i="8"/>
  <c r="H74"/>
  <c r="H72"/>
  <c r="C72"/>
  <c r="C74"/>
  <c r="C73"/>
  <c r="D1913" i="35"/>
  <c r="D37" i="8"/>
  <c r="D39"/>
  <c r="D38"/>
  <c r="I38"/>
  <c r="I37"/>
  <c r="I39"/>
  <c r="B74"/>
  <c r="D2018" i="35"/>
  <c r="K107" i="8"/>
  <c r="K109"/>
  <c r="K1983" i="35"/>
  <c r="K106" i="8"/>
  <c r="K108"/>
  <c r="I1994" i="35"/>
  <c r="I1996"/>
  <c r="I1995"/>
  <c r="I1997"/>
  <c r="K1959"/>
  <c r="K1961"/>
  <c r="K1960"/>
  <c r="K1962"/>
  <c r="C1959"/>
  <c r="C1961"/>
  <c r="C1960"/>
  <c r="C1962"/>
  <c r="E1925"/>
  <c r="E1926"/>
  <c r="C42" i="8"/>
  <c r="E144"/>
  <c r="E2018" i="35"/>
  <c r="E142" i="8"/>
  <c r="E143"/>
  <c r="J1983" i="35"/>
  <c r="E1994"/>
  <c r="E1996"/>
  <c r="E1995"/>
  <c r="E1997"/>
  <c r="G1959"/>
  <c r="G1961"/>
  <c r="G1960"/>
  <c r="G1962"/>
  <c r="C2030"/>
  <c r="I1925"/>
  <c r="I1926"/>
  <c r="E19" i="8"/>
  <c r="H54"/>
  <c r="F89"/>
  <c r="E124"/>
  <c r="J19"/>
  <c r="C54"/>
  <c r="K54"/>
  <c r="K89"/>
  <c r="K19"/>
  <c r="G19"/>
  <c r="C19"/>
  <c r="F54"/>
  <c r="J54"/>
  <c r="D89"/>
  <c r="H89"/>
  <c r="F124"/>
  <c r="D124"/>
  <c r="B124"/>
  <c r="H19"/>
  <c r="D19"/>
  <c r="E54"/>
  <c r="I54"/>
  <c r="C89"/>
  <c r="G89"/>
  <c r="K1807" i="35"/>
  <c r="I1810"/>
  <c r="AB97" i="36"/>
  <c r="L97"/>
  <c r="M57"/>
  <c r="L61"/>
  <c r="L63" s="1"/>
  <c r="B119" i="8"/>
  <c r="B15"/>
  <c r="C119"/>
  <c r="D119"/>
  <c r="K84"/>
  <c r="J84"/>
  <c r="I84"/>
  <c r="H84"/>
  <c r="G84"/>
  <c r="F84"/>
  <c r="E84"/>
  <c r="D84"/>
  <c r="C84"/>
  <c r="B49"/>
  <c r="K49"/>
  <c r="J49"/>
  <c r="G49"/>
  <c r="F49"/>
  <c r="C49"/>
  <c r="B16"/>
  <c r="K7" s="1"/>
  <c r="C14"/>
  <c r="F14"/>
  <c r="G14"/>
  <c r="J14"/>
  <c r="K14"/>
  <c r="K6"/>
  <c r="E119"/>
  <c r="F119"/>
  <c r="B84"/>
  <c r="I49"/>
  <c r="H49"/>
  <c r="E49"/>
  <c r="D49"/>
  <c r="D14"/>
  <c r="E14"/>
  <c r="H14"/>
  <c r="I14"/>
  <c r="I85" i="36"/>
  <c r="M85" s="1"/>
  <c r="J86"/>
  <c r="L1803" i="35"/>
  <c r="M1803" s="1"/>
  <c r="Q1803" s="1"/>
  <c r="K1804"/>
  <c r="I1801"/>
  <c r="J1801"/>
  <c r="Z1802"/>
  <c r="AD1802" s="1"/>
  <c r="Z1800"/>
  <c r="AD1800" s="1"/>
  <c r="AC1786"/>
  <c r="Y61" i="36"/>
  <c r="M97"/>
  <c r="P81" i="35" s="1"/>
  <c r="Z93" i="36"/>
  <c r="Y95"/>
  <c r="H1807" i="35"/>
  <c r="H1809" s="1"/>
  <c r="H1792"/>
  <c r="H1793" s="1"/>
  <c r="J1784"/>
  <c r="H69" i="36"/>
  <c r="H71" s="1"/>
  <c r="Z65"/>
  <c r="Y1809" i="35"/>
  <c r="AC1790"/>
  <c r="AB69" i="36"/>
  <c r="AB71" s="1"/>
  <c r="I80"/>
  <c r="I81" s="1"/>
  <c r="L77"/>
  <c r="L78" s="1"/>
  <c r="I69"/>
  <c r="AB80"/>
  <c r="I74"/>
  <c r="I75" s="1"/>
  <c r="L1773" i="35"/>
  <c r="L1774" s="1"/>
  <c r="L1776" s="1"/>
  <c r="Y1784"/>
  <c r="L70" i="36"/>
  <c r="Z97"/>
  <c r="AD97" s="1"/>
  <c r="AB62"/>
  <c r="AB63" s="1"/>
  <c r="H1777" i="35"/>
  <c r="H1812"/>
  <c r="AA1777"/>
  <c r="J63" i="36"/>
  <c r="Z63"/>
  <c r="H62"/>
  <c r="M62" s="1"/>
  <c r="H83" i="35" s="1"/>
  <c r="L1777"/>
  <c r="K87" i="36"/>
  <c r="J89"/>
  <c r="M1800" i="35"/>
  <c r="AD1804"/>
  <c r="I88" i="36"/>
  <c r="K88"/>
  <c r="L89"/>
  <c r="J1812" i="35"/>
  <c r="I87" i="36"/>
  <c r="H89"/>
  <c r="AD1812" i="35"/>
  <c r="L86" i="36"/>
  <c r="L94"/>
  <c r="M1802" i="35"/>
  <c r="I1794"/>
  <c r="I1796" s="1"/>
  <c r="AC85" i="36"/>
  <c r="AD85" s="1"/>
  <c r="AC1793" i="35"/>
  <c r="AD60" i="36"/>
  <c r="J78"/>
  <c r="K1777" i="35"/>
  <c r="AB1777"/>
  <c r="AD87" i="36"/>
  <c r="AD89"/>
  <c r="K1796" i="35"/>
  <c r="M73" i="36"/>
  <c r="AC1782" i="35"/>
  <c r="Y71" i="36"/>
  <c r="J66"/>
  <c r="J67" s="1"/>
  <c r="AD86"/>
  <c r="I1777" i="35"/>
  <c r="Z1777"/>
  <c r="J94" i="36"/>
  <c r="AD88"/>
  <c r="K67"/>
  <c r="Z92"/>
  <c r="L1785" i="35"/>
  <c r="L1786" s="1"/>
  <c r="AB1808"/>
  <c r="AB1809" s="1"/>
  <c r="AB1811" s="1"/>
  <c r="AB1813" s="1"/>
  <c r="H1810"/>
  <c r="K70" i="36"/>
  <c r="H1795" i="35"/>
  <c r="L1795"/>
  <c r="L1796" s="1"/>
  <c r="K1791"/>
  <c r="K1793" s="1"/>
  <c r="Y66" i="36"/>
  <c r="AA80"/>
  <c r="AA81" s="1"/>
  <c r="Y80"/>
  <c r="AC76"/>
  <c r="AD76" s="1"/>
  <c r="Z78"/>
  <c r="AC1807" i="35"/>
  <c r="AD1807" s="1"/>
  <c r="H1774"/>
  <c r="AD57" i="36"/>
  <c r="Q57" s="1"/>
  <c r="AA59"/>
  <c r="AA61" s="1"/>
  <c r="AA63" s="1"/>
  <c r="AC1796" i="35"/>
  <c r="AA1773"/>
  <c r="AA1774" s="1"/>
  <c r="AA1776" s="1"/>
  <c r="AB79" i="36"/>
  <c r="AB78"/>
  <c r="AA67"/>
  <c r="AA96"/>
  <c r="AA98" s="1"/>
  <c r="AC1809" i="35"/>
  <c r="AC1811" s="1"/>
  <c r="AC1813" s="1"/>
  <c r="Z1782"/>
  <c r="J1809"/>
  <c r="J1811" s="1"/>
  <c r="J1813" s="1"/>
  <c r="J81" i="36"/>
  <c r="Y75"/>
  <c r="Z75"/>
  <c r="M58"/>
  <c r="H50" i="7" s="1"/>
  <c r="AC71" i="36"/>
  <c r="AD58"/>
  <c r="H1790" i="35"/>
  <c r="AC81" i="36"/>
  <c r="L1793" i="35"/>
  <c r="J96" i="36"/>
  <c r="J98" s="1"/>
  <c r="AC1774" i="35"/>
  <c r="AC1776" s="1"/>
  <c r="AC1778" s="1"/>
  <c r="I71" i="36"/>
  <c r="Z1793" i="35"/>
  <c r="AD1792"/>
  <c r="Z71" i="36"/>
  <c r="I78"/>
  <c r="L1781" i="35"/>
  <c r="L1782" s="1"/>
  <c r="I1808"/>
  <c r="M1808" s="1"/>
  <c r="AD1785"/>
  <c r="J75" i="36"/>
  <c r="J1780" i="35"/>
  <c r="L1788"/>
  <c r="L1790" s="1"/>
  <c r="J1781"/>
  <c r="Z1775"/>
  <c r="J70" i="36"/>
  <c r="J71" s="1"/>
  <c r="K59"/>
  <c r="K61" s="1"/>
  <c r="K63" s="1"/>
  <c r="AA1808" i="35"/>
  <c r="AA1809" s="1"/>
  <c r="AA1811" s="1"/>
  <c r="AA1813" s="1"/>
  <c r="Y1794"/>
  <c r="Y1796" s="1"/>
  <c r="AB1793"/>
  <c r="Y1790"/>
  <c r="Y1786"/>
  <c r="Y1772"/>
  <c r="Y1774" s="1"/>
  <c r="K1810"/>
  <c r="I1780"/>
  <c r="I1782" s="1"/>
  <c r="Z66" i="36"/>
  <c r="AC65"/>
  <c r="AC67" s="1"/>
  <c r="L69"/>
  <c r="I1789" i="35"/>
  <c r="I1790" s="1"/>
  <c r="I1791"/>
  <c r="I1793" s="1"/>
  <c r="AC74" i="36"/>
  <c r="AD74" s="1"/>
  <c r="AB1796" i="35"/>
  <c r="AD1795"/>
  <c r="H67" i="36"/>
  <c r="M65"/>
  <c r="I51" i="7" s="1"/>
  <c r="K71" i="36"/>
  <c r="AA1793" i="35"/>
  <c r="H78" i="36"/>
  <c r="AB92"/>
  <c r="AB94" s="1"/>
  <c r="AB96" s="1"/>
  <c r="AB98" s="1"/>
  <c r="AC95"/>
  <c r="I1785" i="35"/>
  <c r="I1786" s="1"/>
  <c r="M74" i="36"/>
  <c r="Q60"/>
  <c r="J1788" i="35"/>
  <c r="J1790" s="1"/>
  <c r="AB67" i="36"/>
  <c r="J1793" i="35"/>
  <c r="H1786"/>
  <c r="AB75" i="36"/>
  <c r="H79" i="35"/>
  <c r="AA1796"/>
  <c r="AD70" i="36"/>
  <c r="K1789" i="35"/>
  <c r="K81" i="36"/>
  <c r="Z1790" i="35"/>
  <c r="AD1789"/>
  <c r="K1781"/>
  <c r="K1782" s="1"/>
  <c r="H52" i="7"/>
  <c r="J1774" i="35"/>
  <c r="J1776" s="1"/>
  <c r="J1778" s="1"/>
  <c r="Z1796"/>
  <c r="AB1790"/>
  <c r="Z81" i="36"/>
  <c r="AD1810" i="35"/>
  <c r="AD1791"/>
  <c r="AD1788"/>
  <c r="M76" i="36"/>
  <c r="H75"/>
  <c r="L75"/>
  <c r="L1809" i="35"/>
  <c r="L1811" s="1"/>
  <c r="L1813" s="1"/>
  <c r="K94" i="36"/>
  <c r="K96" s="1"/>
  <c r="K98" s="1"/>
  <c r="M95"/>
  <c r="P79" i="35" s="1"/>
  <c r="M79" i="36"/>
  <c r="K1809" i="35"/>
  <c r="AD79" i="36"/>
  <c r="Y78"/>
  <c r="AD77"/>
  <c r="Y67"/>
  <c r="L96"/>
  <c r="L98" s="1"/>
  <c r="Z1809" i="35"/>
  <c r="Z1811" s="1"/>
  <c r="Z1813" s="1"/>
  <c r="M77" i="36"/>
  <c r="M66"/>
  <c r="I50" i="7" s="1"/>
  <c r="J1786" i="35"/>
  <c r="AA78" i="36"/>
  <c r="Y63"/>
  <c r="M59"/>
  <c r="H61"/>
  <c r="H1775" i="35"/>
  <c r="M1775" s="1"/>
  <c r="Y1775"/>
  <c r="Y1780"/>
  <c r="AD1780" s="1"/>
  <c r="H1780"/>
  <c r="H51" i="7"/>
  <c r="H49" s="1"/>
  <c r="H80" i="35"/>
  <c r="K1786"/>
  <c r="I1773"/>
  <c r="Z1773"/>
  <c r="K1773"/>
  <c r="AB1773"/>
  <c r="Y1781"/>
  <c r="H1781"/>
  <c r="I1772"/>
  <c r="Z1772"/>
  <c r="K1772"/>
  <c r="AB1772"/>
  <c r="I80"/>
  <c r="H403"/>
  <c r="S40" i="3"/>
  <c r="H51"/>
  <c r="S41"/>
  <c r="D139" i="8"/>
  <c r="D142"/>
  <c r="D144"/>
  <c r="D141"/>
  <c r="D143"/>
  <c r="J107"/>
  <c r="J109"/>
  <c r="J105"/>
  <c r="J104"/>
  <c r="J106"/>
  <c r="J108"/>
  <c r="F107"/>
  <c r="F109"/>
  <c r="F105"/>
  <c r="F104"/>
  <c r="F106"/>
  <c r="F108"/>
  <c r="B109"/>
  <c r="B107"/>
  <c r="B105"/>
  <c r="B104"/>
  <c r="B108"/>
  <c r="B106"/>
  <c r="Y1811" i="35"/>
  <c r="B139" i="8"/>
  <c r="B142"/>
  <c r="B144"/>
  <c r="B141"/>
  <c r="B143"/>
  <c r="H107"/>
  <c r="H109"/>
  <c r="H105"/>
  <c r="H104"/>
  <c r="H106"/>
  <c r="H108"/>
  <c r="D107"/>
  <c r="D109"/>
  <c r="D105"/>
  <c r="D104"/>
  <c r="D106"/>
  <c r="D108"/>
  <c r="I1809" i="35"/>
  <c r="D140" i="8"/>
  <c r="E41"/>
  <c r="Z1786" i="35"/>
  <c r="AB1786"/>
  <c r="M1804"/>
  <c r="Q1804" s="1"/>
  <c r="AD1784"/>
  <c r="B140" i="8"/>
  <c r="AB1782" i="35"/>
  <c r="AD93" i="36"/>
  <c r="Y94"/>
  <c r="M93"/>
  <c r="Q93" s="1"/>
  <c r="H94"/>
  <c r="Z94"/>
  <c r="Z96" s="1"/>
  <c r="Z98" s="1"/>
  <c r="I94"/>
  <c r="I96" s="1"/>
  <c r="I98" s="1"/>
  <c r="J1796" i="35" l="1"/>
  <c r="AD61" i="36"/>
  <c r="AD73"/>
  <c r="Q73" s="1"/>
  <c r="AD69"/>
  <c r="AD1793" i="35"/>
  <c r="M1794"/>
  <c r="L71" i="36"/>
  <c r="M1792" i="35"/>
  <c r="AB81" i="36"/>
  <c r="Y81"/>
  <c r="P52" i="7"/>
  <c r="M1784" i="35"/>
  <c r="Q1784" s="1"/>
  <c r="M87" i="36"/>
  <c r="M1812" i="35"/>
  <c r="Q1812" s="1"/>
  <c r="D1918"/>
  <c r="E30" i="8"/>
  <c r="B1934" i="35"/>
  <c r="C46" i="8"/>
  <c r="D1924" i="35"/>
  <c r="D1925"/>
  <c r="D1926"/>
  <c r="D1927"/>
  <c r="H1924"/>
  <c r="H1925"/>
  <c r="H1927"/>
  <c r="H1926"/>
  <c r="K1924"/>
  <c r="K1927"/>
  <c r="K1926"/>
  <c r="K1925"/>
  <c r="C1924"/>
  <c r="C1927"/>
  <c r="C1926"/>
  <c r="C1925"/>
  <c r="I1959"/>
  <c r="I1960"/>
  <c r="I1961"/>
  <c r="I1962"/>
  <c r="G1924"/>
  <c r="G1927"/>
  <c r="G1925"/>
  <c r="G1926"/>
  <c r="E1959"/>
  <c r="E1960"/>
  <c r="E1961"/>
  <c r="E1962"/>
  <c r="F2029"/>
  <c r="F2031"/>
  <c r="F2032"/>
  <c r="F2030"/>
  <c r="H1959"/>
  <c r="H1961"/>
  <c r="H1960"/>
  <c r="H1962"/>
  <c r="D1959"/>
  <c r="D1961"/>
  <c r="D1960"/>
  <c r="D1962"/>
  <c r="F1924"/>
  <c r="F1925"/>
  <c r="F1927"/>
  <c r="F1926"/>
  <c r="F1959"/>
  <c r="F1961"/>
  <c r="F1960"/>
  <c r="F1962"/>
  <c r="G1994"/>
  <c r="G1995"/>
  <c r="G1996"/>
  <c r="G1997"/>
  <c r="J1924"/>
  <c r="J1927"/>
  <c r="J1926"/>
  <c r="J1925"/>
  <c r="B1959"/>
  <c r="B1961"/>
  <c r="B1960"/>
  <c r="B1962"/>
  <c r="J1959"/>
  <c r="J1961"/>
  <c r="J1960"/>
  <c r="J1962"/>
  <c r="C1994"/>
  <c r="C1995"/>
  <c r="C1997"/>
  <c r="C1996"/>
  <c r="J1995"/>
  <c r="J1997"/>
  <c r="J1994"/>
  <c r="J1996"/>
  <c r="C1930"/>
  <c r="D42" i="8"/>
  <c r="D2029" i="35"/>
  <c r="D2031"/>
  <c r="D2030"/>
  <c r="D2032"/>
  <c r="E2029"/>
  <c r="E2032"/>
  <c r="E2030"/>
  <c r="E2031"/>
  <c r="K1994"/>
  <c r="K1995"/>
  <c r="K1997"/>
  <c r="K1996"/>
  <c r="AD95" i="36"/>
  <c r="J1782" i="35"/>
  <c r="M1781"/>
  <c r="K1811"/>
  <c r="K1813" s="1"/>
  <c r="M88" i="36"/>
  <c r="K5" i="8"/>
  <c r="Q1802" i="35"/>
  <c r="Q97" i="36"/>
  <c r="M86"/>
  <c r="B120" i="8"/>
  <c r="B121" s="1"/>
  <c r="E120"/>
  <c r="E121" s="1"/>
  <c r="F120"/>
  <c r="F121" s="1"/>
  <c r="B85"/>
  <c r="B86" s="1"/>
  <c r="I50"/>
  <c r="I51" s="1"/>
  <c r="H50"/>
  <c r="H51" s="1"/>
  <c r="E50"/>
  <c r="E51" s="1"/>
  <c r="D50"/>
  <c r="D51" s="1"/>
  <c r="D15"/>
  <c r="D16" s="1"/>
  <c r="E15"/>
  <c r="E16" s="1"/>
  <c r="H15"/>
  <c r="H16" s="1"/>
  <c r="I15"/>
  <c r="I16" s="1"/>
  <c r="C120"/>
  <c r="C121" s="1"/>
  <c r="D120"/>
  <c r="D121" s="1"/>
  <c r="K85"/>
  <c r="K86" s="1"/>
  <c r="J85"/>
  <c r="J86" s="1"/>
  <c r="I85"/>
  <c r="I86" s="1"/>
  <c r="H85"/>
  <c r="H86" s="1"/>
  <c r="G85"/>
  <c r="G86" s="1"/>
  <c r="F85"/>
  <c r="F86" s="1"/>
  <c r="E85"/>
  <c r="E86" s="1"/>
  <c r="D85"/>
  <c r="D86" s="1"/>
  <c r="C85"/>
  <c r="C86" s="1"/>
  <c r="B50"/>
  <c r="B51" s="1"/>
  <c r="K50"/>
  <c r="K51" s="1"/>
  <c r="J50"/>
  <c r="J51" s="1"/>
  <c r="G50"/>
  <c r="G51" s="1"/>
  <c r="F50"/>
  <c r="F51" s="1"/>
  <c r="C50"/>
  <c r="C51" s="1"/>
  <c r="C15"/>
  <c r="C16" s="1"/>
  <c r="F15"/>
  <c r="F16" s="1"/>
  <c r="G15"/>
  <c r="G16" s="1"/>
  <c r="J15"/>
  <c r="J16" s="1"/>
  <c r="K15"/>
  <c r="K16" s="1"/>
  <c r="Q1792" i="35"/>
  <c r="Q85" i="36"/>
  <c r="M89"/>
  <c r="Q89" s="1"/>
  <c r="Q1800" i="35"/>
  <c r="M1801"/>
  <c r="Q1801" s="1"/>
  <c r="H1811"/>
  <c r="AD92" i="36"/>
  <c r="Q92" s="1"/>
  <c r="M1785" i="35"/>
  <c r="Q1785" s="1"/>
  <c r="M1807"/>
  <c r="Q1807" s="1"/>
  <c r="AD63" i="36"/>
  <c r="AD80"/>
  <c r="M81"/>
  <c r="F74" i="35" s="1"/>
  <c r="M80" i="36"/>
  <c r="AA1778" i="35"/>
  <c r="AD62" i="36"/>
  <c r="Q62" s="1"/>
  <c r="L1778" i="35"/>
  <c r="H54" i="7"/>
  <c r="M75" i="36"/>
  <c r="F42" i="7" s="1"/>
  <c r="AC96" i="36"/>
  <c r="AC98" s="1"/>
  <c r="AD1777" i="35"/>
  <c r="Q88" i="36"/>
  <c r="Q87"/>
  <c r="Q86"/>
  <c r="AD65"/>
  <c r="Q65" s="1"/>
  <c r="Q58"/>
  <c r="AD66"/>
  <c r="Q66" s="1"/>
  <c r="AD59"/>
  <c r="Q59" s="1"/>
  <c r="AD71"/>
  <c r="M1795" i="35"/>
  <c r="Q1795" s="1"/>
  <c r="H53" i="7"/>
  <c r="M69" i="36"/>
  <c r="Q69" s="1"/>
  <c r="M1777" i="35"/>
  <c r="AD1790"/>
  <c r="AC78" i="36"/>
  <c r="AD78" s="1"/>
  <c r="M67"/>
  <c r="M1810" i="35"/>
  <c r="Q1810" s="1"/>
  <c r="P50" i="7"/>
  <c r="H1776" i="35"/>
  <c r="M70" i="36"/>
  <c r="Q70" s="1"/>
  <c r="M1791" i="35"/>
  <c r="Q1791" s="1"/>
  <c r="AD81" i="36"/>
  <c r="AD1808" i="35"/>
  <c r="Q1808" s="1"/>
  <c r="H1796"/>
  <c r="M1796" s="1"/>
  <c r="AD1796"/>
  <c r="AC75" i="36"/>
  <c r="AD75" s="1"/>
  <c r="Z67"/>
  <c r="AD67" s="1"/>
  <c r="Q95"/>
  <c r="AD1809" i="35"/>
  <c r="M71" i="36"/>
  <c r="H78" i="35"/>
  <c r="H82" s="1"/>
  <c r="H84" s="1"/>
  <c r="M1780"/>
  <c r="Q1780" s="1"/>
  <c r="AD1794"/>
  <c r="Q74" i="36"/>
  <c r="M78"/>
  <c r="F44" i="7" s="1"/>
  <c r="M1789" i="35"/>
  <c r="Q1789" s="1"/>
  <c r="K1790"/>
  <c r="M1790" s="1"/>
  <c r="M1793"/>
  <c r="Q1793" s="1"/>
  <c r="M1788"/>
  <c r="Q1788" s="1"/>
  <c r="Q76" i="36"/>
  <c r="Q77"/>
  <c r="I79" i="35"/>
  <c r="M1786"/>
  <c r="K1774"/>
  <c r="K1776" s="1"/>
  <c r="K1778" s="1"/>
  <c r="H1782"/>
  <c r="M1782" s="1"/>
  <c r="Q79" i="36"/>
  <c r="AB1774" i="35"/>
  <c r="AB1776" s="1"/>
  <c r="AB1778" s="1"/>
  <c r="AD1775"/>
  <c r="Q1775" s="1"/>
  <c r="Y1776"/>
  <c r="Y1778" s="1"/>
  <c r="M61" i="36"/>
  <c r="H63"/>
  <c r="AD1772" i="35"/>
  <c r="Z1774"/>
  <c r="AD1786"/>
  <c r="AD1773"/>
  <c r="M1772"/>
  <c r="Q1772" s="1"/>
  <c r="I1774"/>
  <c r="AD1781"/>
  <c r="Q1781" s="1"/>
  <c r="Y1782"/>
  <c r="AD1782" s="1"/>
  <c r="M1773"/>
  <c r="S394"/>
  <c r="H404"/>
  <c r="S393"/>
  <c r="S42" i="3"/>
  <c r="H1813" i="35"/>
  <c r="H1778"/>
  <c r="I1811"/>
  <c r="I1813" s="1"/>
  <c r="M1809"/>
  <c r="F41" i="8"/>
  <c r="E1929" i="35"/>
  <c r="Y1813"/>
  <c r="AD1813" s="1"/>
  <c r="AD1811"/>
  <c r="M94" i="36"/>
  <c r="H96"/>
  <c r="AD94"/>
  <c r="Y96"/>
  <c r="S395" i="35" l="1"/>
  <c r="Q1794"/>
  <c r="E1918"/>
  <c r="F30" i="8"/>
  <c r="C1934" i="35"/>
  <c r="D46" i="8"/>
  <c r="D1930" i="35"/>
  <c r="E42" i="8"/>
  <c r="F45" i="7"/>
  <c r="Q81" i="36"/>
  <c r="Q1777" i="35"/>
  <c r="F71"/>
  <c r="Q80" i="36"/>
  <c r="H55" i="7"/>
  <c r="Q75" i="36"/>
  <c r="Q1809" i="35"/>
  <c r="Q71" i="36"/>
  <c r="Q1790" i="35"/>
  <c r="Q67" i="36"/>
  <c r="Q1796" i="35"/>
  <c r="Q78" i="36"/>
  <c r="F73" i="35"/>
  <c r="Q1786"/>
  <c r="Q1773"/>
  <c r="Q1782"/>
  <c r="P170"/>
  <c r="M32" i="11"/>
  <c r="P140" i="7"/>
  <c r="M2524" i="35"/>
  <c r="P169"/>
  <c r="Q61" i="36"/>
  <c r="P141" i="7"/>
  <c r="R11" i="24"/>
  <c r="M63" i="36"/>
  <c r="R12" i="24"/>
  <c r="R13"/>
  <c r="Z1776" i="35"/>
  <c r="AD1774"/>
  <c r="I1776"/>
  <c r="M1774"/>
  <c r="Q1774" s="1"/>
  <c r="M1811"/>
  <c r="Q1811" s="1"/>
  <c r="G41" i="8"/>
  <c r="F1929" i="35"/>
  <c r="M1813"/>
  <c r="Q1813" s="1"/>
  <c r="AD96" i="36"/>
  <c r="Y98"/>
  <c r="AD98" s="1"/>
  <c r="M96"/>
  <c r="H98"/>
  <c r="M98" s="1"/>
  <c r="P78" i="35"/>
  <c r="P80" s="1"/>
  <c r="P82" s="1"/>
  <c r="P87" s="1"/>
  <c r="P49" i="7"/>
  <c r="P51" s="1"/>
  <c r="P53" s="1"/>
  <c r="P58" s="1"/>
  <c r="Q94" i="36"/>
  <c r="F1918" i="35" l="1"/>
  <c r="G30" i="8"/>
  <c r="D1934" i="35"/>
  <c r="E46" i="8"/>
  <c r="E1930" i="35"/>
  <c r="F42" i="8"/>
  <c r="Q96" i="36"/>
  <c r="J145" i="15"/>
  <c r="J146" s="1"/>
  <c r="J148" s="1"/>
  <c r="G1621" i="35"/>
  <c r="E1589"/>
  <c r="P96"/>
  <c r="F115" i="15"/>
  <c r="P161" i="36"/>
  <c r="P67" i="7"/>
  <c r="F1611" i="35"/>
  <c r="P98"/>
  <c r="J158" i="36"/>
  <c r="N149"/>
  <c r="P69" i="7"/>
  <c r="G125" i="15"/>
  <c r="P100" i="35"/>
  <c r="J160" i="36"/>
  <c r="N150"/>
  <c r="N158"/>
  <c r="D38" i="15"/>
  <c r="D1534" i="35"/>
  <c r="J159" i="36"/>
  <c r="P71" i="7"/>
  <c r="E93" i="15"/>
  <c r="Q63" i="36"/>
  <c r="P145" i="15"/>
  <c r="P146" s="1"/>
  <c r="P148" s="1"/>
  <c r="M1641" i="35"/>
  <c r="M1642" s="1"/>
  <c r="M1644" s="1"/>
  <c r="D1621"/>
  <c r="D125" i="15"/>
  <c r="I1778" i="35"/>
  <c r="M1778" s="1"/>
  <c r="M1776"/>
  <c r="Z1778"/>
  <c r="AD1778" s="1"/>
  <c r="AD1776"/>
  <c r="M145" i="15"/>
  <c r="M146" s="1"/>
  <c r="M148" s="1"/>
  <c r="P1641" i="35"/>
  <c r="P1642" s="1"/>
  <c r="P1644" s="1"/>
  <c r="J1641"/>
  <c r="J1642" s="1"/>
  <c r="J1644" s="1"/>
  <c r="H41" i="8"/>
  <c r="G1929" i="35"/>
  <c r="M1621"/>
  <c r="D1535"/>
  <c r="Q98" i="36"/>
  <c r="D39" i="15"/>
  <c r="M125"/>
  <c r="G1918" i="35" l="1"/>
  <c r="H30" i="8"/>
  <c r="E1934" i="35"/>
  <c r="F46" i="8"/>
  <c r="F1930" i="35"/>
  <c r="G42" i="8"/>
  <c r="Q54" i="36"/>
  <c r="J1645" i="35"/>
  <c r="J1657" s="1"/>
  <c r="J1661" s="1"/>
  <c r="J149" i="15"/>
  <c r="J161" s="1"/>
  <c r="M163" s="1"/>
  <c r="M1647" i="35"/>
  <c r="J1648"/>
  <c r="B21" i="8"/>
  <c r="B40" s="1"/>
  <c r="P166" i="36"/>
  <c r="J152" i="15"/>
  <c r="M151"/>
  <c r="N1864" i="35"/>
  <c r="Q1778"/>
  <c r="N1865"/>
  <c r="P1876"/>
  <c r="P1881" s="1"/>
  <c r="Q1776"/>
  <c r="I41" i="8"/>
  <c r="H1929" i="35"/>
  <c r="H1918" l="1"/>
  <c r="I30" i="8"/>
  <c r="F1934" i="35"/>
  <c r="G46" i="8"/>
  <c r="G1930" i="35"/>
  <c r="H42" i="8"/>
  <c r="M1659" i="35"/>
  <c r="J165" i="15"/>
  <c r="J394" i="35" s="1"/>
  <c r="L394" s="1"/>
  <c r="Q1769"/>
  <c r="C126" i="8"/>
  <c r="B91"/>
  <c r="H91"/>
  <c r="D91"/>
  <c r="J56"/>
  <c r="F56"/>
  <c r="B22"/>
  <c r="K21"/>
  <c r="K91"/>
  <c r="G91"/>
  <c r="I56"/>
  <c r="D21"/>
  <c r="C21"/>
  <c r="E126"/>
  <c r="J91"/>
  <c r="F91"/>
  <c r="B56"/>
  <c r="H56"/>
  <c r="D56"/>
  <c r="G21"/>
  <c r="B126"/>
  <c r="F126"/>
  <c r="I91"/>
  <c r="E91"/>
  <c r="K56"/>
  <c r="G56"/>
  <c r="C56"/>
  <c r="F21"/>
  <c r="J21"/>
  <c r="E21"/>
  <c r="D126"/>
  <c r="C91"/>
  <c r="E56"/>
  <c r="H21"/>
  <c r="I21"/>
  <c r="J41"/>
  <c r="I1929" i="35"/>
  <c r="E57" i="8" l="1"/>
  <c r="E71" s="1"/>
  <c r="E75"/>
  <c r="J22"/>
  <c r="J36" s="1"/>
  <c r="J40"/>
  <c r="K57"/>
  <c r="K71" s="1"/>
  <c r="K75"/>
  <c r="B127"/>
  <c r="B145"/>
  <c r="B57"/>
  <c r="B71" s="1"/>
  <c r="B75"/>
  <c r="H22"/>
  <c r="H36" s="1"/>
  <c r="H40"/>
  <c r="C92"/>
  <c r="C110"/>
  <c r="E22"/>
  <c r="E36" s="1"/>
  <c r="E40"/>
  <c r="F22"/>
  <c r="F36" s="1"/>
  <c r="F40"/>
  <c r="G57"/>
  <c r="G71" s="1"/>
  <c r="G75"/>
  <c r="E92"/>
  <c r="E110"/>
  <c r="F127"/>
  <c r="F145"/>
  <c r="G22"/>
  <c r="G36" s="1"/>
  <c r="G40"/>
  <c r="H57"/>
  <c r="H71" s="1"/>
  <c r="H75"/>
  <c r="F92"/>
  <c r="F110"/>
  <c r="E127"/>
  <c r="E145"/>
  <c r="D22"/>
  <c r="D36" s="1"/>
  <c r="D40"/>
  <c r="G92"/>
  <c r="G110"/>
  <c r="K22"/>
  <c r="K36" s="1"/>
  <c r="K40"/>
  <c r="F57"/>
  <c r="F71" s="1"/>
  <c r="F75"/>
  <c r="D92"/>
  <c r="D110"/>
  <c r="B92"/>
  <c r="B110"/>
  <c r="I22"/>
  <c r="I33" s="1"/>
  <c r="I40"/>
  <c r="D127"/>
  <c r="D145"/>
  <c r="C57"/>
  <c r="C71" s="1"/>
  <c r="C75"/>
  <c r="I92"/>
  <c r="I110"/>
  <c r="D57"/>
  <c r="D71" s="1"/>
  <c r="D75"/>
  <c r="J92"/>
  <c r="J110"/>
  <c r="C22"/>
  <c r="C36" s="1"/>
  <c r="C40"/>
  <c r="I57"/>
  <c r="I71" s="1"/>
  <c r="I75"/>
  <c r="K92"/>
  <c r="K110"/>
  <c r="J57"/>
  <c r="J71" s="1"/>
  <c r="J75"/>
  <c r="H92"/>
  <c r="H110"/>
  <c r="C127"/>
  <c r="C145"/>
  <c r="I1918" i="35"/>
  <c r="J30" i="8"/>
  <c r="J33"/>
  <c r="B33"/>
  <c r="B36"/>
  <c r="H33"/>
  <c r="F33"/>
  <c r="D33"/>
  <c r="I36"/>
  <c r="G1934" i="35"/>
  <c r="H46" i="8"/>
  <c r="H1930" i="35"/>
  <c r="I42" i="8"/>
  <c r="J40" i="3"/>
  <c r="L40" s="1"/>
  <c r="J6" i="7"/>
  <c r="J393" i="35"/>
  <c r="L393" s="1"/>
  <c r="E92" i="15"/>
  <c r="J41" i="3"/>
  <c r="L41" s="1"/>
  <c r="K41" i="8"/>
  <c r="J1929" i="35"/>
  <c r="G33" i="8" l="1"/>
  <c r="E33"/>
  <c r="C33"/>
  <c r="J1918" i="35"/>
  <c r="K30" i="8"/>
  <c r="H1934" i="35"/>
  <c r="I46" i="8"/>
  <c r="I1930" i="35"/>
  <c r="J42" i="8"/>
  <c r="B76"/>
  <c r="K1929" i="35"/>
  <c r="K1918" l="1"/>
  <c r="B65" i="8"/>
  <c r="K33"/>
  <c r="I1934" i="35"/>
  <c r="J46" i="8"/>
  <c r="J1930" i="35"/>
  <c r="K42" i="8"/>
  <c r="C76"/>
  <c r="B1964" i="35"/>
  <c r="B1953" l="1"/>
  <c r="C65" i="8"/>
  <c r="B68"/>
  <c r="J1934" i="35"/>
  <c r="K46" i="8"/>
  <c r="K1930" i="35"/>
  <c r="B77" i="8"/>
  <c r="D76"/>
  <c r="C1964" i="35"/>
  <c r="C1953" l="1"/>
  <c r="D65" i="8"/>
  <c r="C68"/>
  <c r="K1934" i="35"/>
  <c r="B81" i="8"/>
  <c r="B1965" i="35"/>
  <c r="C77" i="8"/>
  <c r="E76"/>
  <c r="D1964" i="35"/>
  <c r="D1953" l="1"/>
  <c r="E65" i="8"/>
  <c r="D68"/>
  <c r="B1969" i="35"/>
  <c r="C81" i="8"/>
  <c r="C1965" i="35"/>
  <c r="D77" i="8"/>
  <c r="F76"/>
  <c r="E1964" i="35"/>
  <c r="E1953" l="1"/>
  <c r="F65" i="8"/>
  <c r="E68"/>
  <c r="C1969" i="35"/>
  <c r="D81" i="8"/>
  <c r="D1965" i="35"/>
  <c r="E77" i="8"/>
  <c r="G76"/>
  <c r="F1964" i="35"/>
  <c r="F1953" l="1"/>
  <c r="F68" i="8"/>
  <c r="D1969" i="35"/>
  <c r="E81" i="8"/>
  <c r="E1965" i="35"/>
  <c r="F77" i="8"/>
  <c r="H76"/>
  <c r="G1964" i="35"/>
  <c r="G1953" l="1"/>
  <c r="G68" i="8"/>
  <c r="E1969" i="35"/>
  <c r="F81" i="8"/>
  <c r="F1965" i="35"/>
  <c r="G77" i="8"/>
  <c r="I76"/>
  <c r="H1964" i="35"/>
  <c r="H1953" l="1"/>
  <c r="H68" i="8"/>
  <c r="F1969" i="35"/>
  <c r="G81" i="8"/>
  <c r="G1965" i="35"/>
  <c r="H77" i="8"/>
  <c r="J76"/>
  <c r="I1964" i="35"/>
  <c r="I1953" l="1"/>
  <c r="I68" i="8"/>
  <c r="G1969" i="35"/>
  <c r="H81" i="8"/>
  <c r="H1965" i="35"/>
  <c r="I77" i="8"/>
  <c r="K76"/>
  <c r="J1964" i="35"/>
  <c r="J1953" l="1"/>
  <c r="J68" i="8"/>
  <c r="H1969" i="35"/>
  <c r="I81" i="8"/>
  <c r="I1965" i="35"/>
  <c r="J77" i="8"/>
  <c r="K1964" i="35"/>
  <c r="B111" i="8"/>
  <c r="K1953" i="35" l="1"/>
  <c r="B100" i="8"/>
  <c r="K68"/>
  <c r="I1969" i="35"/>
  <c r="J81" i="8"/>
  <c r="J1965" i="35"/>
  <c r="K77" i="8"/>
  <c r="C111"/>
  <c r="B1999" i="35"/>
  <c r="B1988" l="1"/>
  <c r="C100" i="8"/>
  <c r="B103"/>
  <c r="J1969" i="35"/>
  <c r="K81" i="8"/>
  <c r="K1965" i="35"/>
  <c r="B112" i="8"/>
  <c r="C1999" i="35"/>
  <c r="D111" i="8"/>
  <c r="C1988" i="35" l="1"/>
  <c r="D100" i="8"/>
  <c r="C103"/>
  <c r="K1969" i="35"/>
  <c r="B116" i="8"/>
  <c r="B2000" i="35"/>
  <c r="C112" i="8"/>
  <c r="E111"/>
  <c r="D1999" i="35"/>
  <c r="D1988" l="1"/>
  <c r="E100" i="8"/>
  <c r="D103"/>
  <c r="B2004" i="35"/>
  <c r="C116" i="8"/>
  <c r="C2000" i="35"/>
  <c r="D112" i="8"/>
  <c r="E1999" i="35"/>
  <c r="F111" i="8"/>
  <c r="E1988" i="35" l="1"/>
  <c r="F100" i="8"/>
  <c r="E103"/>
  <c r="C2004" i="35"/>
  <c r="D116" i="8"/>
  <c r="D2000" i="35"/>
  <c r="E112" i="8"/>
  <c r="G111"/>
  <c r="F1999" i="35"/>
  <c r="F1988" l="1"/>
  <c r="G100" i="8"/>
  <c r="F103"/>
  <c r="D2004" i="35"/>
  <c r="E116" i="8"/>
  <c r="E2000" i="35"/>
  <c r="F112" i="8"/>
  <c r="G1999" i="35"/>
  <c r="H111" i="8"/>
  <c r="G1988" i="35" l="1"/>
  <c r="H100" i="8"/>
  <c r="G103"/>
  <c r="E2004" i="35"/>
  <c r="F116" i="8"/>
  <c r="F2000" i="35"/>
  <c r="G112" i="8"/>
  <c r="I111"/>
  <c r="H1999" i="35"/>
  <c r="H1988" l="1"/>
  <c r="I100" i="8"/>
  <c r="H103"/>
  <c r="F2004" i="35"/>
  <c r="G116" i="8"/>
  <c r="G2000" i="35"/>
  <c r="H112" i="8"/>
  <c r="I1999" i="35"/>
  <c r="J111" i="8"/>
  <c r="I1988" i="35" l="1"/>
  <c r="J100" i="8"/>
  <c r="I103"/>
  <c r="G2004" i="35"/>
  <c r="H116" i="8"/>
  <c r="H2000" i="35"/>
  <c r="I112" i="8"/>
  <c r="K111"/>
  <c r="J1999" i="35"/>
  <c r="J1988" l="1"/>
  <c r="K100" i="8"/>
  <c r="J103"/>
  <c r="H2004" i="35"/>
  <c r="I116" i="8"/>
  <c r="I2000" i="35"/>
  <c r="J112" i="8"/>
  <c r="K1999" i="35"/>
  <c r="B146" i="8"/>
  <c r="K1988" i="35" l="1"/>
  <c r="B135" i="8"/>
  <c r="K103"/>
  <c r="I2004" i="35"/>
  <c r="J116" i="8"/>
  <c r="J2000" i="35"/>
  <c r="K112" i="8"/>
  <c r="C146"/>
  <c r="B2034" i="35"/>
  <c r="B2023" l="1"/>
  <c r="C135" i="8"/>
  <c r="B138"/>
  <c r="J2004" i="35"/>
  <c r="K116" i="8"/>
  <c r="K2000" i="35"/>
  <c r="B147" i="8"/>
  <c r="C2034" i="35"/>
  <c r="D146" i="8"/>
  <c r="C2023" i="35" l="1"/>
  <c r="D135" i="8"/>
  <c r="C138"/>
  <c r="K2004" i="35"/>
  <c r="B151" i="8"/>
  <c r="B2035" i="35"/>
  <c r="C147" i="8"/>
  <c r="E146"/>
  <c r="D2034" i="35"/>
  <c r="D2023" l="1"/>
  <c r="E135" i="8"/>
  <c r="D138"/>
  <c r="B2039" i="35"/>
  <c r="C151" i="8"/>
  <c r="C2035" i="35"/>
  <c r="D147" i="8"/>
  <c r="E2034" i="35"/>
  <c r="F146" i="8"/>
  <c r="F2034" i="35" s="1"/>
  <c r="E2023" l="1"/>
  <c r="F135" i="8"/>
  <c r="E138"/>
  <c r="C2039" i="35"/>
  <c r="D151" i="8"/>
  <c r="D2035" i="35"/>
  <c r="E147" i="8"/>
  <c r="F2023" i="35" l="1"/>
  <c r="F138" i="8"/>
  <c r="D2039" i="35"/>
  <c r="E151" i="8"/>
  <c r="E2035" i="35"/>
  <c r="F147" i="8"/>
  <c r="F2035" i="35" s="1"/>
  <c r="E2039" l="1"/>
  <c r="F151" i="8"/>
  <c r="F2039" i="35" s="1"/>
</calcChain>
</file>

<file path=xl/sharedStrings.xml><?xml version="1.0" encoding="utf-8"?>
<sst xmlns="http://schemas.openxmlformats.org/spreadsheetml/2006/main" count="10141" uniqueCount="4078">
  <si>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</si>
  <si>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</si>
  <si>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</si>
  <si>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</si>
  <si>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</si>
  <si>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</si>
  <si>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</si>
  <si>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</si>
  <si>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</si>
  <si>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</si>
  <si>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</si>
  <si>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</si>
  <si>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</si>
  <si>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</si>
  <si>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</si>
  <si>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</si>
  <si>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</si>
  <si>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</si>
  <si>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</si>
  <si>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</si>
  <si>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</si>
  <si>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</si>
  <si>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</si>
  <si>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</si>
  <si>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</si>
  <si>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</si>
  <si>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</si>
  <si>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</si>
  <si>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</si>
  <si>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</si>
  <si>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</si>
  <si>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</si>
  <si>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</si>
  <si>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</si>
  <si>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</si>
  <si>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</si>
  <si>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</si>
  <si>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</si>
  <si>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</si>
  <si>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</si>
  <si>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</si>
  <si>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</si>
  <si>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</si>
  <si>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</si>
  <si>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</si>
  <si>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</si>
  <si>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</si>
  <si>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</si>
  <si>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</si>
  <si>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</si>
  <si>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</si>
  <si>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</si>
  <si>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</si>
  <si>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</si>
  <si>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</si>
  <si>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</si>
  <si>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</si>
  <si>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</si>
  <si>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</si>
  <si>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</si>
  <si>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</si>
  <si>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</si>
  <si>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</si>
  <si>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</si>
  <si>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</si>
  <si>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</si>
  <si>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</si>
  <si>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</si>
  <si>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</si>
  <si>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</si>
  <si>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</si>
  <si>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</si>
  <si>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</si>
  <si>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</si>
  <si>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</si>
  <si>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</si>
  <si>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</si>
  <si>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</si>
  <si>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</si>
  <si>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</si>
  <si>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</si>
  <si>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</si>
  <si>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</si>
  <si>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</si>
  <si>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</si>
  <si>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</si>
  <si>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</si>
  <si>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</si>
  <si>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</si>
  <si>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</si>
  <si>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</si>
  <si>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</si>
  <si>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</si>
  <si>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</si>
  <si>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</si>
  <si>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</si>
  <si>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</si>
  <si>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</si>
  <si>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</si>
  <si>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</si>
  <si>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</si>
  <si>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</si>
  <si>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</si>
  <si>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</si>
  <si>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</si>
  <si>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</si>
  <si>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</si>
  <si>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</si>
  <si>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</si>
  <si>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</si>
  <si>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</si>
  <si>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</si>
  <si>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</si>
  <si>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</si>
  <si>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</si>
  <si>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</si>
  <si>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</si>
  <si>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</si>
  <si>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</si>
  <si>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</si>
  <si>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</si>
  <si>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</si>
  <si>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</si>
  <si>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</si>
  <si>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</si>
  <si>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</si>
  <si>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</si>
  <si>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</si>
  <si>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</si>
  <si>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</si>
  <si>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</si>
  <si>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</si>
  <si>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</si>
  <si>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</si>
  <si>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</si>
  <si>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</si>
  <si>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</si>
  <si>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</si>
  <si>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</si>
  <si>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</si>
  <si>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</si>
  <si>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</si>
  <si>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</si>
  <si>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</si>
  <si>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</si>
  <si>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</si>
  <si>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</si>
  <si>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</si>
  <si>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</si>
  <si>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</si>
  <si>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</si>
  <si>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</si>
  <si>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</si>
  <si>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</si>
  <si>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</si>
  <si>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</si>
  <si>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</si>
  <si>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</si>
  <si>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</si>
  <si>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</si>
  <si>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</si>
  <si>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</si>
  <si>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</si>
  <si>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</si>
  <si>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</si>
  <si>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</si>
  <si>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</si>
  <si>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</si>
  <si>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</si>
  <si>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</si>
  <si>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</si>
  <si>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</si>
  <si>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</si>
  <si>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</si>
  <si>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</si>
  <si>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</si>
  <si>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</si>
  <si>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</si>
  <si>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</si>
  <si>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</si>
  <si>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</si>
  <si>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</si>
  <si>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</si>
  <si>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</si>
  <si>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</si>
  <si>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</si>
  <si>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</si>
  <si>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</si>
  <si>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</si>
  <si>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</si>
  <si>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</si>
  <si>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</si>
  <si>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</si>
  <si>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</si>
  <si>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</si>
  <si>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</si>
  <si>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</si>
  <si>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</si>
  <si>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</si>
  <si>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</si>
  <si>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</si>
  <si>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</si>
  <si>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</si>
  <si>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</si>
  <si>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</si>
  <si>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</si>
  <si>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</si>
  <si>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</si>
  <si>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</si>
  <si>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</si>
  <si>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</si>
  <si>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</si>
  <si>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</si>
  <si>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</si>
  <si>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</si>
  <si>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</si>
  <si>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</si>
  <si>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</si>
  <si>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</si>
  <si>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</si>
  <si>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</si>
  <si>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</si>
  <si>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</si>
  <si>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</si>
  <si>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</si>
  <si>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</si>
  <si>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</si>
  <si>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</si>
  <si>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</si>
  <si>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</si>
  <si>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</si>
  <si>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</si>
  <si>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</si>
  <si>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</si>
  <si>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</si>
  <si>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</si>
  <si>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</si>
  <si>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</si>
  <si>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</si>
  <si>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</si>
  <si>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</si>
  <si>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</si>
  <si>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</si>
  <si>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</si>
  <si>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</si>
  <si>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</si>
  <si>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</si>
  <si>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</si>
  <si>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</si>
  <si>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</si>
  <si>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</si>
  <si>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</si>
  <si>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</si>
  <si>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</si>
  <si>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</si>
  <si>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</si>
  <si>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</si>
  <si>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</si>
  <si>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</si>
  <si>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</si>
  <si>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</si>
  <si>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</si>
  <si>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</si>
  <si>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</si>
  <si>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</si>
  <si>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</si>
  <si>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</si>
  <si>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</si>
  <si>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</si>
  <si>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</si>
  <si>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</si>
  <si>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</si>
  <si>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</si>
  <si>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</si>
  <si>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</si>
  <si>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</si>
  <si>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</si>
  <si>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</si>
  <si>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</si>
  <si>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</si>
  <si>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</si>
  <si>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</si>
  <si>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</si>
  <si>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</si>
  <si>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</si>
  <si>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</si>
  <si>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</si>
  <si>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</si>
  <si>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</si>
  <si>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</si>
  <si>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</si>
  <si>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</si>
  <si>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</si>
  <si>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</si>
  <si>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</si>
  <si>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</si>
  <si>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</si>
  <si>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</si>
  <si>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</si>
  <si>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</si>
  <si>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</si>
  <si>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</si>
  <si>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</si>
  <si>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</si>
  <si>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</si>
  <si>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</si>
  <si>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</si>
  <si>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</si>
  <si>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</si>
  <si>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</si>
  <si>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</si>
  <si>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</si>
  <si>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</si>
  <si>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</si>
  <si>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</si>
  <si>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</si>
  <si>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</si>
  <si>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</si>
  <si>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</si>
  <si>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</si>
  <si>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</si>
  <si>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</si>
  <si>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</si>
  <si>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</si>
  <si>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</si>
  <si>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</si>
  <si>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</si>
  <si>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</si>
  <si>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</si>
  <si>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</si>
  <si>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</si>
  <si>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</si>
  <si>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</si>
  <si>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</si>
  <si>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</si>
  <si>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</si>
  <si>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</si>
  <si>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</si>
  <si>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</si>
  <si>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</si>
  <si>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</si>
  <si>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</si>
  <si>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</si>
  <si>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</si>
  <si>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</si>
  <si>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</si>
  <si>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</si>
  <si>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</si>
  <si>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</si>
  <si>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</si>
  <si>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</si>
  <si>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</si>
  <si>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</si>
  <si>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</si>
  <si>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</si>
  <si>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</si>
  <si>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</si>
  <si>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</si>
  <si>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</si>
  <si>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</si>
  <si>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</si>
  <si>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</si>
  <si>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</si>
  <si>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</si>
  <si>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</si>
  <si>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</si>
  <si>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</si>
  <si>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</si>
  <si>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</si>
  <si>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</si>
  <si>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</si>
  <si>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</si>
  <si>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</si>
  <si>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</si>
  <si>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</si>
  <si>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</si>
  <si>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</si>
  <si>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</si>
  <si>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</si>
  <si>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</si>
  <si>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</si>
  <si>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</si>
  <si>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</si>
  <si>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</si>
  <si>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</si>
  <si>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</si>
  <si>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</si>
  <si>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</si>
  <si>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</si>
  <si>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</si>
  <si>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</si>
  <si>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</si>
  <si>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</si>
  <si>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</si>
  <si>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</si>
  <si>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</si>
  <si>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</si>
  <si>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</si>
  <si>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</si>
  <si>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</si>
  <si>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</si>
  <si>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</si>
  <si>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</si>
  <si>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</si>
  <si>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</si>
  <si>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</si>
  <si>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</si>
  <si>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</si>
  <si>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</si>
  <si>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</si>
  <si>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</si>
  <si>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</si>
  <si>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</si>
  <si>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</si>
  <si>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</si>
  <si>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</si>
  <si>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</si>
  <si>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</si>
  <si>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</si>
  <si>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</si>
  <si>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</si>
  <si>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</si>
  <si>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</si>
  <si>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</si>
  <si>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</si>
  <si>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</si>
  <si>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</si>
  <si>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</si>
  <si>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</si>
  <si>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</si>
  <si>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</si>
  <si>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</si>
  <si>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</si>
  <si>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</si>
  <si>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</si>
  <si>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</si>
  <si>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</si>
  <si>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</si>
  <si>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</si>
  <si>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</si>
  <si>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</si>
  <si>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</si>
  <si>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</si>
  <si>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</si>
  <si>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</si>
  <si>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</si>
  <si>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</si>
  <si>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</si>
  <si>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</si>
  <si>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</si>
  <si>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</si>
  <si>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</si>
  <si>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</si>
  <si>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</si>
  <si>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</si>
  <si>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</si>
  <si>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</si>
  <si>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</si>
  <si>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</si>
  <si>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</si>
  <si>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</si>
  <si>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</si>
  <si>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</si>
  <si>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</si>
  <si>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</si>
  <si>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</si>
  <si>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</si>
  <si>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</si>
  <si>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</si>
  <si>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</si>
  <si>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</si>
  <si>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</si>
  <si>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</si>
  <si>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</si>
  <si>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</si>
  <si>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</si>
  <si>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</si>
  <si>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</si>
  <si>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</si>
  <si>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</si>
  <si>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</si>
  <si>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</si>
  <si>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</si>
  <si>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</si>
  <si>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</si>
  <si>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</si>
  <si>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</si>
  <si>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</si>
  <si>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</si>
  <si>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</si>
  <si>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</si>
  <si>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</si>
  <si>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</si>
  <si>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</si>
  <si>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</si>
  <si>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</si>
  <si>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</si>
  <si>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</si>
  <si>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</si>
  <si>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</si>
  <si>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</si>
  <si>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</si>
  <si>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</si>
  <si>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</si>
  <si>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</si>
  <si>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</si>
  <si>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</si>
  <si>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</si>
  <si>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</si>
  <si>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</si>
  <si>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</si>
  <si>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</si>
  <si>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</si>
  <si>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</si>
  <si>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</si>
  <si>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</si>
  <si>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</si>
  <si>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</si>
  <si>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</si>
  <si>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</si>
  <si>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</si>
  <si>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</si>
  <si>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</si>
  <si>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</si>
  <si>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</si>
  <si>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</si>
  <si>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</si>
  <si>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</si>
  <si>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</si>
  <si>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</si>
  <si>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</si>
  <si>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</si>
  <si>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</si>
  <si>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</si>
  <si>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</si>
  <si>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</si>
  <si>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</si>
  <si>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</si>
  <si>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</si>
  <si>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</si>
  <si>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</si>
  <si>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</si>
  <si>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</si>
  <si>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</si>
  <si>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</si>
  <si>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</si>
  <si>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</si>
  <si>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</si>
  <si>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</si>
  <si>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</si>
  <si>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</si>
  <si>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</si>
  <si>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</si>
  <si>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</si>
  <si>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</si>
  <si>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</si>
  <si>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</si>
  <si>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</si>
  <si>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</si>
  <si>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</si>
  <si>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</si>
  <si>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</si>
  <si>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</si>
  <si>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</si>
  <si>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</si>
  <si>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</si>
  <si>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</si>
  <si>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</si>
  <si>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</si>
  <si>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</si>
  <si>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</si>
  <si>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</si>
  <si>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</si>
  <si>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</si>
  <si>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</si>
  <si>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</si>
  <si>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</si>
  <si>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</si>
  <si>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</si>
  <si>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</si>
  <si>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</si>
  <si>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</si>
  <si>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</si>
  <si>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</si>
  <si>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</si>
  <si>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</si>
  <si>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</si>
  <si>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</si>
  <si>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</si>
  <si>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</si>
  <si>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</si>
  <si>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</si>
  <si>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</si>
  <si>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</si>
  <si>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</si>
  <si>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</si>
  <si>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</si>
  <si>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</si>
  <si>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</si>
  <si>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</si>
  <si>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</si>
  <si>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</si>
  <si>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</si>
  <si>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</si>
  <si>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</si>
  <si>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</si>
  <si>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</si>
  <si>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</si>
  <si>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</si>
  <si>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</si>
  <si>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</si>
  <si>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</si>
  <si>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</si>
  <si>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</si>
  <si>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</si>
  <si>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</si>
  <si>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</si>
  <si>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</si>
  <si>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</si>
  <si>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</si>
  <si>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</si>
  <si>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</si>
  <si>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</si>
  <si>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</si>
  <si>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</si>
  <si>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</si>
  <si>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</si>
  <si>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</si>
  <si>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</si>
  <si>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</si>
  <si>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</si>
  <si>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</si>
  <si>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</si>
  <si>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</si>
  <si>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</si>
  <si>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</si>
  <si>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</si>
  <si>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</si>
  <si>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</si>
  <si>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</si>
  <si>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</si>
  <si>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</si>
  <si>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</si>
  <si>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</si>
  <si>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</si>
  <si>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</si>
  <si>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</si>
  <si>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</si>
  <si>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</si>
  <si>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</si>
  <si>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</si>
  <si>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</si>
  <si>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</si>
  <si>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</si>
  <si>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</si>
  <si>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</si>
  <si>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</si>
  <si>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</si>
  <si>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</si>
  <si>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</si>
  <si>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</si>
  <si>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</si>
  <si>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</si>
  <si>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</si>
  <si>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</si>
  <si>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</si>
  <si>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</si>
  <si>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</si>
  <si>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</si>
  <si>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</si>
  <si>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</si>
  <si>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</si>
  <si>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</si>
  <si>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</si>
  <si>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</si>
  <si>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</si>
  <si>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</si>
  <si>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</si>
  <si>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</si>
  <si>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</si>
  <si>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</si>
  <si>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</si>
  <si>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</si>
  <si>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</si>
  <si>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</si>
  <si>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</si>
  <si>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</si>
  <si>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</si>
  <si>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</si>
  <si>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</si>
  <si>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</si>
  <si>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</si>
  <si>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</si>
  <si>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</si>
  <si>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</si>
  <si>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</si>
  <si>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</si>
  <si>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</si>
  <si>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</si>
  <si>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</si>
  <si>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</si>
  <si>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</si>
  <si>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</si>
  <si>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</si>
  <si>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</si>
  <si>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</si>
  <si>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</si>
  <si>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</si>
  <si>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</si>
  <si>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</si>
  <si>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</si>
  <si>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</si>
  <si>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</si>
  <si>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</si>
  <si>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</si>
  <si>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</si>
  <si>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</si>
  <si>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</si>
  <si>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</si>
  <si>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</si>
  <si>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</si>
  <si>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</si>
  <si>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</si>
  <si>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</si>
  <si>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</si>
  <si>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</si>
  <si>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</si>
  <si>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</si>
  <si>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</si>
  <si>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</si>
  <si>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</si>
  <si>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</si>
  <si>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</si>
  <si>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</si>
  <si>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</si>
  <si>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</si>
  <si>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</si>
  <si>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</si>
  <si>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</si>
  <si>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</si>
  <si>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</si>
  <si>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</si>
  <si>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</si>
  <si>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</si>
  <si>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</si>
  <si>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</si>
  <si>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</si>
  <si>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</si>
  <si>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</si>
  <si>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</si>
  <si>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</si>
  <si>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</si>
  <si>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</si>
  <si>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</si>
  <si>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</si>
  <si>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</si>
  <si>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</si>
  <si>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</si>
  <si>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</si>
  <si>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</si>
  <si>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</si>
  <si>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</si>
  <si>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</si>
  <si>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</si>
  <si>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</si>
  <si>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</si>
  <si>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</si>
  <si>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</si>
  <si>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</si>
  <si>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</si>
  <si>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</si>
  <si>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</si>
  <si>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</si>
  <si>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</si>
  <si>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</si>
  <si>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</si>
  <si>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</si>
  <si>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</si>
  <si>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</si>
  <si>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</si>
  <si>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</si>
  <si>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</si>
  <si>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</si>
  <si>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</si>
  <si>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</si>
  <si>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</si>
  <si>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</si>
  <si>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</si>
  <si>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</si>
  <si>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</si>
  <si>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</si>
  <si>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</si>
  <si>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</si>
  <si>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</si>
  <si>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</si>
  <si>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</si>
  <si>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</si>
  <si>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</si>
  <si>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</si>
  <si>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</si>
  <si>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</si>
  <si>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</si>
  <si>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</si>
  <si>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</si>
  <si>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</si>
  <si>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</si>
  <si>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</si>
  <si>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</si>
  <si>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</si>
  <si>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</si>
  <si>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</si>
  <si>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</si>
  <si>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</si>
  <si>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</si>
  <si>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</si>
  <si>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</si>
  <si>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</si>
  <si>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</si>
  <si>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</si>
  <si>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</si>
  <si>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</si>
  <si>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</si>
  <si>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</si>
  <si>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</si>
  <si>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</si>
  <si>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</si>
  <si>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</si>
  <si>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</si>
  <si>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</si>
  <si>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</si>
  <si>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</si>
  <si>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</si>
  <si>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</si>
  <si>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</si>
  <si>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</si>
  <si>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</si>
  <si>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</si>
  <si>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</si>
  <si>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</si>
  <si>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</si>
  <si>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</si>
  <si>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</si>
  <si>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</si>
  <si>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</si>
  <si>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</si>
  <si>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</si>
  <si>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</si>
  <si>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</si>
  <si>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</si>
  <si>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</si>
  <si>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</si>
  <si>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</si>
  <si>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</si>
  <si>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</si>
  <si>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</si>
  <si>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</si>
  <si>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</si>
  <si>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</si>
  <si>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</si>
  <si>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</si>
  <si>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</si>
  <si>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</si>
  <si>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</si>
  <si>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</si>
  <si>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</si>
  <si>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</si>
  <si>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</si>
  <si>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</si>
  <si>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</si>
  <si>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</si>
  <si>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</si>
  <si>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</si>
  <si>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</si>
  <si>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</si>
  <si>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</si>
  <si>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</si>
  <si>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</si>
  <si>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</si>
  <si>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</si>
  <si>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</si>
  <si>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</si>
  <si>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</si>
  <si>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</si>
  <si>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</si>
  <si>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</si>
  <si>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</si>
  <si>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</si>
  <si>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</si>
  <si>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</si>
  <si>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</si>
  <si>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</si>
  <si>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</si>
  <si>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</si>
  <si>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</si>
  <si>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</si>
  <si>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</si>
  <si>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</si>
  <si>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</si>
  <si>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</si>
  <si>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</si>
  <si>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</si>
  <si>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</si>
  <si>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</si>
  <si>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</si>
  <si>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</si>
  <si>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</si>
  <si>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</si>
  <si>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</si>
  <si>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</si>
  <si>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</si>
  <si>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</si>
  <si>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</si>
  <si>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</si>
  <si>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</si>
  <si>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</si>
  <si>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</si>
  <si>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</si>
  <si>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</si>
  <si>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</si>
  <si>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</si>
  <si>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</si>
  <si>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</si>
  <si>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</si>
  <si>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</si>
  <si>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</si>
  <si>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</si>
  <si>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</si>
  <si>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</si>
  <si>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</si>
  <si>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</si>
  <si>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</si>
  <si>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</si>
  <si>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</si>
  <si>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</si>
  <si>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</si>
  <si>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</si>
  <si>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</si>
  <si>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</si>
  <si>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</si>
  <si>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</si>
  <si>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</si>
  <si>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</si>
  <si>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</si>
  <si>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</si>
  <si>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</si>
  <si>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</si>
  <si>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</si>
  <si>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</si>
  <si>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</si>
  <si>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</si>
  <si>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</si>
  <si>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</si>
  <si>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</si>
  <si>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</si>
  <si>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</si>
  <si>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</si>
  <si>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</si>
  <si>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</si>
  <si>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</si>
  <si>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</si>
  <si>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</si>
  <si>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</si>
  <si>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</si>
  <si>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</si>
  <si>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</si>
  <si>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</si>
  <si>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</si>
  <si>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</si>
  <si>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</si>
  <si>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</si>
  <si>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</si>
  <si>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</si>
  <si>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</si>
  <si>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</si>
  <si>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</si>
  <si>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</si>
  <si>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</si>
  <si>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</si>
  <si>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</si>
  <si>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</si>
  <si>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</si>
  <si>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</si>
  <si>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</si>
  <si>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</si>
  <si>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</si>
  <si>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</si>
  <si>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</si>
  <si>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</si>
  <si>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</si>
  <si>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</si>
  <si>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</si>
  <si>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</si>
  <si>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</si>
  <si>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</si>
  <si>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</si>
  <si>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</si>
  <si>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</si>
  <si>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</si>
  <si>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</si>
  <si>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</si>
  <si>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</si>
  <si>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</si>
  <si>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</si>
  <si>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</si>
  <si>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</si>
  <si>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</si>
  <si>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</si>
  <si>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</si>
  <si>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</si>
  <si>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</si>
  <si>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</si>
  <si>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</si>
  <si>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</si>
  <si>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</si>
  <si>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</si>
  <si>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</si>
  <si>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</si>
  <si>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</si>
  <si>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</si>
  <si>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</si>
  <si>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</si>
  <si>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</si>
  <si>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</si>
  <si>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</si>
  <si>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</si>
  <si>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</si>
  <si>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</si>
  <si>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</si>
  <si>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</si>
  <si>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</si>
  <si>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</si>
  <si>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</si>
  <si>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</si>
  <si>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</si>
  <si>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</si>
  <si>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</si>
  <si>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</si>
  <si>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</si>
  <si>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</si>
  <si>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</si>
  <si>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</si>
  <si>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</si>
  <si>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</si>
  <si>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</si>
  <si>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</si>
  <si>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</si>
  <si>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</si>
  <si>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</si>
  <si>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</si>
  <si>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</si>
  <si>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</si>
  <si>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</si>
  <si>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</si>
  <si>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</si>
  <si>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</si>
  <si>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</si>
  <si>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</si>
  <si>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</si>
  <si>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</si>
  <si>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</si>
  <si>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</si>
  <si>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</si>
  <si>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</si>
  <si>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</si>
  <si>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</si>
  <si>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</si>
  <si>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</si>
  <si>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</si>
  <si>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</si>
  <si>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</si>
  <si>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</si>
  <si>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</si>
  <si>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</si>
  <si>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</si>
  <si>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</si>
  <si>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</si>
  <si>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</si>
  <si>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</si>
  <si>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</si>
  <si>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</si>
  <si>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</si>
  <si>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</si>
  <si>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</si>
  <si>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</si>
  <si>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</si>
  <si>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</si>
  <si>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</si>
  <si>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</si>
  <si>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</si>
  <si>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</si>
  <si>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</si>
  <si>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</si>
  <si>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</si>
  <si>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</si>
  <si>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</si>
  <si>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</si>
  <si>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</si>
  <si>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</si>
  <si>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</si>
  <si>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</si>
  <si>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</si>
  <si>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</si>
  <si>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</si>
  <si>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</si>
  <si>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</si>
  <si>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</si>
  <si>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</si>
  <si>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</si>
  <si>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</si>
  <si>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</si>
  <si>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</si>
  <si>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</si>
  <si>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</si>
  <si>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</si>
  <si>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</si>
  <si>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</si>
  <si>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</si>
  <si>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</si>
  <si>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</si>
  <si>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</si>
  <si>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</si>
  <si>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</si>
  <si>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</si>
  <si>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</si>
  <si>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</si>
  <si>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</si>
  <si>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</si>
  <si>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</si>
  <si>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</si>
  <si>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</si>
  <si>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</si>
  <si>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</si>
  <si>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</si>
  <si>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</si>
  <si>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</si>
  <si>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</si>
  <si>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</si>
  <si>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</si>
  <si>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</si>
  <si>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</si>
  <si>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</si>
  <si>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</si>
  <si>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</si>
  <si>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</si>
  <si>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</si>
  <si>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</si>
  <si>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</si>
  <si>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</si>
  <si>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</si>
  <si>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</si>
  <si>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</si>
  <si>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</si>
  <si>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</si>
  <si>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</si>
  <si>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</si>
  <si>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</si>
  <si>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</si>
  <si>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</si>
  <si>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</si>
  <si>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</si>
  <si>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</si>
  <si>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</si>
  <si>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</si>
  <si>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</si>
  <si>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</si>
  <si>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</si>
  <si>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</si>
  <si>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</si>
  <si>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</si>
  <si>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</si>
  <si>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</si>
  <si>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</si>
  <si>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</si>
  <si>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</si>
  <si>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</si>
  <si>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</si>
  <si>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</si>
  <si>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</si>
  <si>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</si>
  <si>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</si>
  <si>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</si>
  <si>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</si>
  <si>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</si>
  <si>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</si>
  <si>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</si>
  <si>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</si>
  <si>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</si>
  <si>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</si>
  <si>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</si>
  <si>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</si>
  <si>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</si>
  <si>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</si>
  <si>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</si>
  <si>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</si>
  <si>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</si>
  <si>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</si>
  <si>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</si>
  <si>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</si>
  <si>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</si>
  <si>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</si>
  <si>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</si>
  <si>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</si>
  <si>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</si>
  <si>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</si>
  <si>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</si>
  <si>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</si>
  <si>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</si>
  <si>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</si>
  <si>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</si>
  <si>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</si>
  <si>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</si>
  <si>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</si>
  <si>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</si>
  <si>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</si>
  <si>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</si>
  <si>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</si>
  <si>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</si>
  <si>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</si>
  <si>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</si>
  <si>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</si>
  <si>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</si>
  <si>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</si>
  <si>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</si>
  <si>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</si>
  <si>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</si>
  <si>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</si>
  <si>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</si>
  <si>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</si>
  <si>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</si>
  <si>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</si>
  <si>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</si>
  <si>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</si>
  <si>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</si>
  <si>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</si>
  <si>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</si>
  <si>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</si>
  <si>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</si>
  <si>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</si>
  <si>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</si>
  <si>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</si>
  <si>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</si>
  <si>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</si>
  <si>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</si>
  <si>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</si>
  <si>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</si>
  <si>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</si>
  <si>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</si>
  <si>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</si>
  <si>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</si>
  <si>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</si>
  <si>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</si>
  <si>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</si>
  <si>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</si>
  <si>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</si>
  <si>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</si>
  <si>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</si>
  <si>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</si>
  <si>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</si>
  <si>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</si>
  <si>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</si>
  <si>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</si>
  <si>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</si>
  <si>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</si>
  <si>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</si>
  <si>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</si>
  <si>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</si>
  <si>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</si>
  <si>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</si>
  <si>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</si>
  <si>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</si>
  <si>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</si>
  <si>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</si>
  <si>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</si>
  <si>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</si>
  <si>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</si>
  <si>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</si>
  <si>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</si>
  <si>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</si>
  <si>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</si>
  <si>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</si>
  <si>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</si>
  <si>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</si>
  <si>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</si>
  <si>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</si>
  <si>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</si>
  <si>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</si>
  <si>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</si>
  <si>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</si>
  <si>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</si>
  <si>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</si>
  <si>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</si>
  <si>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</si>
  <si>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</si>
  <si>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</si>
  <si>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</si>
  <si>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</si>
  <si>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</si>
  <si>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</si>
  <si>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</si>
  <si>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</si>
  <si>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</si>
  <si>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</si>
  <si>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</si>
  <si>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</si>
  <si>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</si>
  <si>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</si>
  <si>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</si>
  <si>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</si>
  <si>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</si>
  <si>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</si>
  <si>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</si>
  <si>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</si>
  <si>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</si>
  <si>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</si>
  <si>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</si>
  <si>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</si>
  <si>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</si>
  <si>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</si>
  <si>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</si>
  <si>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</si>
  <si>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</si>
  <si>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</si>
  <si>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</si>
  <si>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</si>
  <si>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</si>
  <si>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</si>
  <si>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</si>
  <si>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</si>
  <si>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</si>
  <si>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</si>
  <si>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</si>
  <si>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</si>
  <si>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</si>
  <si>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</si>
  <si>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</si>
  <si>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</si>
  <si>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</si>
  <si>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</si>
  <si>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</si>
  <si>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</si>
  <si>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</si>
  <si>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</si>
  <si>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</si>
  <si>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</si>
  <si>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</si>
  <si>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</si>
  <si>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</si>
  <si>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</si>
  <si>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</si>
  <si>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</si>
  <si>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</si>
  <si>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</si>
  <si>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</si>
  <si>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</si>
  <si>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</si>
  <si>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</si>
  <si>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</si>
  <si>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</si>
  <si>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</si>
  <si>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</si>
  <si>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</si>
  <si>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</si>
  <si>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</si>
  <si>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</si>
  <si>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</si>
  <si>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</si>
  <si>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</si>
  <si>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</si>
  <si>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</si>
  <si>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</si>
  <si>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</si>
  <si>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</si>
  <si>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</si>
  <si>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</si>
  <si>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</si>
  <si>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</si>
  <si>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</si>
  <si>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</si>
  <si>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</si>
  <si>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</si>
  <si>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</si>
  <si>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</si>
  <si>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</si>
  <si>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</si>
  <si>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</si>
  <si>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</si>
  <si>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</si>
  <si>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</si>
  <si>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</si>
  <si>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</si>
  <si>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</si>
  <si>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</si>
  <si>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</si>
  <si>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</si>
  <si>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</si>
  <si>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</si>
  <si>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</si>
  <si>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</si>
  <si>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</si>
  <si>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</si>
  <si>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</si>
  <si>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</si>
  <si>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</si>
  <si>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</si>
  <si>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</si>
  <si>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</si>
  <si>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</si>
  <si>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</si>
  <si>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</si>
  <si>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</si>
  <si>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</si>
  <si>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</si>
  <si>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</si>
  <si>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</si>
  <si>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</si>
  <si>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</si>
  <si>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</si>
  <si>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</si>
  <si>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</si>
  <si>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</si>
  <si>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</si>
  <si>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</si>
  <si>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</si>
  <si>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</si>
  <si>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</si>
  <si>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</si>
  <si>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</si>
  <si>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</si>
  <si>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</si>
  <si>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</si>
  <si>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</si>
  <si>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</si>
  <si>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</si>
  <si>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</si>
  <si>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</si>
  <si>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</si>
  <si>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</si>
  <si>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</si>
  <si>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</si>
  <si>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</si>
  <si>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</si>
  <si>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</si>
  <si>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</si>
  <si>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</si>
  <si>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</si>
  <si>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</si>
  <si>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</si>
  <si>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</si>
  <si>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</si>
  <si>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</si>
  <si>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</si>
  <si>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</si>
  <si>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</si>
  <si>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</si>
  <si>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</si>
  <si>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</si>
  <si>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</si>
  <si>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</si>
  <si>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</si>
  <si>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</si>
  <si>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</si>
  <si>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</si>
  <si>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</si>
  <si>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</si>
  <si>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</si>
  <si>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</si>
  <si>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</si>
  <si>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</si>
  <si>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</si>
  <si>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</si>
  <si>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</si>
  <si>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</si>
  <si>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</si>
  <si>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</si>
  <si>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</si>
  <si>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</si>
  <si>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</si>
  <si>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</si>
  <si>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</si>
  <si>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</si>
  <si>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</si>
  <si>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</si>
  <si>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</si>
  <si>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</si>
  <si>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</si>
  <si>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</si>
  <si>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</si>
  <si>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</si>
  <si>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</si>
  <si>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</si>
  <si>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</si>
  <si>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</si>
  <si>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</si>
  <si>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</si>
  <si>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</si>
  <si>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</si>
  <si>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</si>
  <si>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</si>
  <si>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</si>
  <si>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</si>
  <si>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</si>
  <si>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</si>
  <si>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</si>
  <si>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</si>
  <si>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</si>
  <si>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</si>
  <si>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</si>
  <si>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</si>
  <si>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</si>
  <si>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</si>
  <si>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</si>
  <si>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</si>
  <si>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</si>
  <si>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</si>
  <si>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</si>
  <si>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</si>
  <si>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</si>
  <si>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</si>
  <si>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</si>
  <si>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</si>
  <si>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</si>
  <si>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</si>
  <si>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</si>
  <si>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</si>
  <si>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</si>
  <si>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</si>
  <si>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</si>
  <si>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</si>
  <si>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</si>
  <si>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</si>
  <si>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</si>
  <si>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</si>
  <si>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</si>
  <si>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</si>
  <si>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</si>
  <si>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</si>
  <si>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</si>
  <si>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</si>
  <si>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</si>
  <si>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</si>
  <si>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</si>
  <si>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</si>
  <si>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</si>
  <si>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</si>
  <si>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</si>
  <si>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</si>
  <si>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</si>
  <si>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</si>
  <si>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</si>
  <si>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</si>
  <si>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</si>
  <si>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</si>
  <si>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</si>
  <si>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</si>
  <si>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</si>
  <si>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</si>
  <si>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</si>
  <si>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</si>
  <si>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</si>
  <si>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</si>
  <si>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</si>
  <si>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</si>
  <si>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</si>
  <si>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</si>
  <si>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</si>
  <si>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</si>
  <si>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</si>
  <si>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</si>
  <si>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</si>
  <si>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</si>
  <si>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</si>
  <si>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</si>
  <si>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</si>
  <si>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</si>
  <si>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</si>
  <si>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</si>
  <si>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</si>
  <si>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</si>
  <si>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</si>
  <si>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</si>
  <si>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</si>
  <si>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</si>
  <si>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</si>
  <si>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</si>
  <si>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</si>
  <si>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</si>
  <si>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</si>
  <si>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</si>
  <si>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</si>
  <si>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</si>
  <si>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</si>
  <si>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</si>
  <si>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</si>
  <si>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</si>
  <si>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</si>
  <si>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</si>
  <si>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</si>
  <si>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</si>
  <si>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</si>
  <si>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</si>
  <si>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</si>
  <si>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</si>
  <si>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</si>
  <si>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</si>
  <si>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</si>
  <si>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</si>
  <si>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</si>
  <si>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</si>
  <si>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</si>
  <si>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</si>
  <si>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</si>
  <si>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</si>
  <si>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</si>
  <si>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</si>
  <si>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</si>
  <si>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</si>
  <si>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</si>
  <si>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</si>
  <si>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</si>
  <si>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</si>
  <si>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</si>
  <si>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</si>
  <si>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</si>
  <si>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</si>
  <si>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</si>
  <si>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</si>
  <si>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</si>
  <si>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</si>
  <si>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</si>
  <si>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</si>
  <si>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</si>
  <si>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</si>
  <si>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</si>
  <si>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</si>
  <si>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</si>
  <si>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</si>
  <si>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</si>
  <si>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</si>
  <si>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</si>
  <si>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</si>
  <si>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</si>
  <si>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</si>
  <si>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</si>
  <si>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</si>
  <si>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</si>
  <si>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</si>
  <si>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</si>
  <si>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</si>
  <si>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</si>
  <si>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</si>
  <si>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</si>
  <si>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</si>
  <si>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</si>
  <si>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</si>
  <si>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</si>
  <si>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</si>
  <si>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</si>
  <si>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</si>
  <si>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</si>
  <si>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</si>
  <si>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</si>
  <si>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</si>
  <si>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</si>
  <si>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</si>
  <si>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</si>
  <si>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</si>
  <si>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</si>
  <si>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</si>
  <si>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</si>
  <si>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</si>
  <si>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</si>
  <si>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</si>
  <si>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</si>
  <si>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</si>
  <si>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</si>
  <si>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</si>
  <si>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</si>
  <si>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</si>
  <si>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</si>
  <si>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</si>
  <si>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</si>
  <si>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</si>
  <si>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</si>
  <si>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</si>
  <si>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</si>
  <si>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</si>
  <si>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</si>
  <si>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</si>
  <si>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</si>
  <si>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</si>
  <si>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</si>
  <si>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</si>
  <si>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</si>
  <si>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</si>
  <si>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</si>
  <si>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</si>
  <si>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</si>
  <si>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</si>
  <si>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</si>
  <si>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</si>
  <si>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</si>
  <si>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</si>
  <si>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</si>
  <si>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</si>
  <si>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</si>
  <si>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</si>
  <si>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</si>
  <si>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</si>
  <si>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</si>
  <si>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</si>
  <si>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</si>
  <si>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</si>
  <si>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</si>
  <si>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</si>
  <si>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</si>
  <si>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</si>
  <si>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</si>
  <si>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</si>
  <si>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</si>
  <si>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</si>
  <si>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</si>
  <si>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</si>
  <si>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</si>
  <si>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</si>
  <si>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</si>
  <si>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</si>
  <si>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</si>
  <si>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</si>
  <si>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</si>
  <si>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</si>
  <si>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</si>
  <si>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</si>
  <si>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</si>
  <si>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</si>
  <si>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</si>
  <si>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</si>
  <si>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</si>
  <si>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</si>
  <si>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</si>
  <si>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</si>
  <si>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</si>
  <si>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</si>
  <si>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</si>
  <si>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</si>
  <si>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</si>
  <si>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</si>
  <si>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</si>
  <si>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</si>
  <si>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</si>
  <si>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</si>
  <si>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</si>
  <si>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</si>
  <si>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</si>
  <si>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</si>
  <si>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</si>
  <si>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</si>
  <si>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</si>
  <si>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</si>
  <si>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</si>
  <si>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</si>
  <si>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</si>
  <si>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</si>
  <si>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</si>
  <si>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</si>
  <si>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</si>
  <si>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</si>
  <si>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</si>
  <si>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</si>
  <si>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</si>
  <si>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</si>
  <si>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</si>
  <si>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</si>
  <si>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</si>
  <si>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</si>
  <si>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</si>
  <si>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</si>
  <si>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</si>
  <si>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</si>
  <si>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</si>
  <si>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</si>
  <si>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</si>
  <si>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</si>
  <si>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</si>
  <si>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</si>
  <si>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</si>
  <si>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</si>
  <si>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</si>
  <si>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</si>
  <si>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</si>
  <si>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</si>
  <si>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</si>
  <si>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</si>
  <si>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</si>
  <si>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</si>
  <si>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</si>
  <si>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</si>
  <si>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</si>
  <si>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</si>
  <si>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</si>
  <si>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</si>
  <si>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</si>
  <si>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</si>
  <si>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</si>
  <si>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</si>
  <si>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</si>
  <si>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</si>
  <si>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</si>
  <si>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</si>
  <si>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</si>
  <si>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</si>
  <si>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</si>
  <si>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</si>
  <si>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</si>
  <si>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</si>
  <si>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</si>
  <si>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</si>
  <si>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</si>
  <si>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</si>
  <si>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</si>
  <si>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</si>
  <si>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</si>
  <si>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</si>
  <si>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</si>
  <si>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</si>
  <si>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</si>
  <si>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</si>
  <si>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</si>
  <si>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</si>
  <si>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</si>
  <si>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</si>
  <si>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</si>
  <si>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</si>
  <si>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</si>
  <si>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</si>
  <si>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</si>
  <si>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</si>
  <si>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</si>
  <si>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</si>
  <si>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</si>
  <si>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</si>
  <si>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</si>
  <si>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</si>
  <si>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</si>
  <si>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</si>
  <si>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</si>
  <si>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</si>
  <si>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</si>
  <si>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</si>
  <si>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</si>
  <si>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</si>
  <si>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</si>
  <si>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</si>
  <si>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</si>
  <si>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</si>
  <si>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</si>
  <si>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</si>
  <si>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</si>
  <si>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</si>
  <si>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</si>
  <si>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</si>
  <si>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</si>
  <si>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</si>
  <si>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</si>
  <si>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</si>
  <si>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</si>
  <si>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</si>
  <si>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</si>
  <si>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</si>
  <si>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</si>
  <si>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</si>
  <si>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</si>
  <si>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</si>
  <si>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</si>
  <si>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</si>
  <si>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</si>
  <si>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</si>
  <si>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</si>
  <si>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</si>
  <si>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</si>
  <si>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</si>
  <si>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</si>
  <si>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</si>
  <si>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</si>
  <si>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</si>
  <si>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</si>
  <si>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</si>
  <si>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</si>
  <si>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</si>
  <si>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</si>
  <si>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</si>
  <si>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</si>
  <si>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</si>
  <si>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</si>
  <si>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</si>
  <si>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</si>
  <si>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</si>
  <si>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</si>
  <si>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</si>
  <si>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</si>
  <si>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</si>
  <si>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</si>
  <si>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</si>
  <si>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</si>
  <si>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</si>
  <si>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</si>
  <si>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</si>
  <si>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</si>
  <si>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</si>
  <si>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</si>
  <si>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</si>
  <si>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</si>
  <si>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</si>
  <si>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</si>
  <si>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</si>
  <si>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</si>
  <si>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</si>
  <si>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</si>
  <si>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</si>
  <si>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</si>
  <si>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</si>
  <si>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</si>
  <si>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</si>
  <si>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</si>
  <si>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</si>
  <si>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</si>
  <si>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</si>
  <si>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</si>
  <si>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</si>
  <si>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</si>
  <si>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</si>
  <si>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</si>
  <si>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</si>
  <si>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</si>
  <si>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</si>
  <si>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</si>
  <si>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</si>
  <si>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</si>
  <si>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</si>
  <si>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</si>
  <si>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</si>
  <si>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</si>
  <si>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</si>
  <si>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</si>
  <si>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</si>
  <si>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</si>
  <si>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</si>
  <si>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</si>
  <si>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</si>
  <si>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</si>
  <si>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</si>
  <si>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</si>
  <si>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</si>
  <si>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</si>
  <si>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</si>
  <si>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</si>
  <si>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</si>
  <si>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</si>
  <si>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</si>
  <si>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</si>
  <si>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</si>
  <si>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</si>
  <si>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</si>
  <si>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</si>
  <si>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</si>
  <si>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</si>
  <si>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</si>
  <si>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</si>
  <si>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</si>
  <si>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</si>
  <si>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</si>
  <si>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</si>
  <si>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</si>
  <si>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</si>
  <si>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</si>
  <si>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</si>
  <si>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</si>
  <si>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</si>
  <si>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</si>
  <si>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</si>
  <si>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</si>
  <si>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</si>
  <si>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</si>
  <si>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</si>
  <si>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</si>
  <si>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</si>
  <si>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</si>
  <si>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</si>
  <si>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</si>
  <si>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</si>
  <si>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</si>
  <si>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</si>
  <si>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</si>
  <si>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</si>
  <si>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</si>
  <si>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</si>
  <si>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</si>
  <si>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</si>
  <si>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</si>
  <si>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</si>
  <si>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</si>
  <si>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</si>
  <si>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</si>
  <si>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</si>
  <si>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</si>
  <si>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</si>
  <si>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</si>
  <si>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</si>
  <si>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</si>
  <si>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</si>
  <si>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</si>
  <si>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</si>
  <si>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</si>
  <si>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</si>
  <si>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</si>
  <si>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</si>
  <si>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</si>
  <si>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</si>
  <si>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</si>
  <si>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</si>
  <si>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</si>
  <si>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</si>
  <si>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</si>
  <si>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</si>
  <si>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</si>
  <si>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</si>
  <si>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</si>
  <si>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</si>
  <si>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</si>
  <si>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</si>
  <si>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</si>
  <si>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</si>
  <si>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</si>
  <si>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</si>
  <si>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</si>
  <si>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</si>
  <si>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</si>
  <si>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</si>
  <si>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</si>
  <si>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</si>
  <si>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</si>
  <si>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</si>
  <si>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</si>
  <si>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</si>
  <si>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</si>
  <si>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</si>
  <si>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</si>
  <si>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</si>
  <si>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</si>
  <si>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</si>
  <si>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</si>
  <si>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</si>
  <si>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</si>
  <si>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</si>
  <si>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</si>
  <si>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</si>
  <si>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</si>
  <si>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</si>
  <si>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</si>
  <si>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</si>
  <si>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</si>
  <si>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</si>
  <si>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</si>
  <si>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</si>
  <si>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</si>
  <si>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</si>
  <si>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</si>
  <si>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</si>
  <si>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</si>
  <si>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</si>
  <si>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</si>
  <si>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</si>
  <si>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</si>
  <si>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</si>
  <si>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</si>
  <si>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</si>
  <si>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</si>
  <si>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</si>
  <si>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</si>
  <si>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</si>
  <si>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</si>
  <si>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</si>
  <si>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</si>
  <si>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</si>
  <si>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</si>
  <si>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</si>
  <si>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</si>
  <si>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</si>
  <si>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</si>
  <si>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</si>
  <si>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</si>
  <si>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</si>
  <si>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</si>
  <si>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</si>
  <si>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</si>
  <si>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</si>
  <si>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</si>
  <si>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</si>
  <si>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</si>
  <si>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</si>
  <si>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</si>
  <si>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</si>
  <si>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</si>
  <si>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</si>
  <si>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</si>
  <si>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</si>
  <si>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</si>
  <si>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</si>
  <si>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</si>
  <si>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</si>
  <si>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</si>
  <si>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</si>
  <si>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</si>
  <si>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</si>
  <si>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</si>
  <si>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</si>
  <si>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</si>
  <si>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</si>
  <si>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</si>
  <si>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</si>
  <si>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</si>
  <si>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</si>
  <si>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</si>
  <si>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</si>
  <si>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</si>
  <si>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</si>
  <si>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</si>
  <si>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</si>
  <si>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</si>
  <si>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</si>
  <si>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</si>
  <si>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</si>
  <si>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</si>
  <si>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</si>
  <si>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</si>
  <si>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</si>
  <si>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</si>
  <si>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</si>
  <si>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</si>
  <si>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</si>
  <si>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</si>
  <si>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</si>
  <si>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</si>
  <si>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</si>
  <si>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</si>
  <si>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</si>
  <si>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</si>
  <si>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</si>
  <si>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</si>
  <si>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</si>
  <si>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</si>
  <si>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</si>
  <si>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</si>
  <si>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</si>
  <si>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</si>
  <si>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</si>
  <si>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</si>
  <si>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</si>
  <si>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</si>
  <si>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</si>
  <si>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</si>
  <si>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</si>
  <si>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</si>
  <si>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</si>
  <si>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</si>
  <si>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</si>
  <si>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</si>
  <si>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</si>
  <si>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</si>
  <si>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</si>
  <si>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</si>
  <si>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</si>
  <si>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</si>
  <si>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</si>
  <si>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</si>
  <si>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</si>
  <si>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</si>
  <si>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</si>
  <si>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</si>
  <si>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</si>
  <si>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</si>
  <si>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</si>
  <si>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</si>
  <si>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</si>
  <si>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</si>
  <si>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</si>
  <si>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</si>
  <si>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</si>
  <si>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</si>
  <si>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</si>
  <si>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</si>
  <si>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</si>
  <si>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</si>
  <si>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</si>
  <si>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</si>
  <si>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</si>
  <si>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</si>
  <si>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</si>
  <si>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</si>
  <si>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</si>
  <si>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</si>
  <si>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</si>
  <si>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</si>
  <si>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</si>
  <si>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</si>
  <si>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</si>
  <si>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</si>
  <si>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</si>
  <si>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</si>
  <si>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</si>
  <si>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</si>
  <si>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</si>
  <si>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</si>
  <si>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</si>
  <si>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</si>
  <si>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</si>
  <si>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</si>
  <si>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</si>
  <si>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</si>
  <si>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</si>
  <si>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</si>
  <si>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</si>
  <si>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</si>
  <si>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</si>
  <si>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</si>
  <si>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</si>
  <si>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</si>
  <si>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</si>
  <si>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</si>
  <si>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</si>
  <si>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</si>
  <si>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</si>
  <si>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</si>
  <si>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</si>
  <si>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</si>
  <si>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</si>
  <si>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</si>
  <si>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</si>
  <si>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</si>
  <si>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</si>
  <si>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</si>
  <si>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</si>
  <si>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</si>
  <si>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</si>
  <si>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</si>
  <si>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</si>
  <si>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</si>
  <si>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</si>
  <si>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</si>
  <si>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</si>
  <si>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</si>
  <si>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</si>
  <si>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</si>
  <si>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</si>
  <si>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</si>
  <si>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</si>
  <si>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</si>
  <si>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</si>
  <si>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</si>
  <si>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</si>
  <si>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</si>
  <si>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</si>
  <si>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</si>
  <si>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</si>
  <si>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</si>
  <si>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</si>
  <si>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</si>
  <si>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</si>
  <si>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</si>
  <si>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</si>
  <si>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</si>
  <si>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</si>
  <si>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</si>
  <si>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</si>
  <si>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</si>
  <si>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</si>
  <si>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</si>
  <si>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</si>
  <si>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</si>
  <si>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</si>
  <si>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</si>
  <si>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</si>
  <si>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</si>
  <si>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</si>
  <si>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</si>
  <si>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</si>
  <si>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</si>
  <si>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</si>
  <si>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</si>
  <si>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</si>
  <si>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</si>
  <si>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</si>
  <si>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</si>
  <si>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</si>
  <si>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</si>
  <si>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</si>
  <si>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</si>
  <si>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</si>
  <si>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</si>
  <si>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</si>
  <si>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</si>
  <si>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</si>
  <si>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</si>
  <si>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</si>
  <si>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</si>
  <si>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</si>
  <si>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</si>
  <si>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</si>
  <si>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</si>
  <si>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</si>
  <si>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</si>
  <si>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</si>
  <si>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</si>
  <si>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</si>
  <si>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</si>
  <si>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</si>
  <si>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</si>
  <si>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</si>
  <si>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</si>
  <si>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</si>
  <si>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</si>
  <si>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</si>
  <si>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</si>
  <si>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</si>
  <si>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</si>
  <si>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</si>
  <si>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</si>
  <si>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</si>
  <si>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</si>
  <si>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</si>
  <si>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</si>
  <si>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</si>
  <si>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</si>
  <si>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</si>
  <si>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</si>
  <si>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</si>
  <si>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</si>
  <si>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</si>
  <si>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</si>
  <si>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</si>
  <si>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</si>
  <si>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</si>
  <si>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</si>
  <si>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</si>
  <si>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</si>
  <si>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</si>
  <si>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</si>
  <si>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</si>
  <si>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</si>
  <si>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</si>
  <si>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</si>
  <si>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</si>
  <si>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</si>
  <si>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</si>
  <si>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</si>
  <si>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</si>
  <si>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</si>
  <si>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</si>
  <si>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</si>
  <si>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</si>
  <si>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</si>
  <si>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</si>
  <si>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</si>
  <si>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</si>
  <si>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</si>
  <si>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</si>
  <si>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</si>
  <si>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</si>
  <si>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</si>
  <si>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</si>
  <si>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</si>
  <si>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</si>
  <si>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</si>
  <si>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</si>
  <si>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</si>
  <si>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</si>
  <si>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</si>
  <si>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</si>
  <si>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</si>
  <si>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</si>
  <si>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</si>
  <si>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</si>
  <si>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</si>
  <si>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</si>
  <si>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</si>
  <si>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</si>
  <si>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</si>
  <si>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</si>
  <si>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</si>
  <si>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</si>
  <si>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</si>
  <si>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</si>
  <si>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</si>
  <si>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</si>
  <si>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</si>
  <si>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</si>
  <si>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</si>
  <si>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</si>
  <si>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</si>
  <si>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</si>
  <si>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</si>
  <si>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</si>
  <si>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</si>
  <si>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</si>
  <si>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</si>
  <si>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</si>
  <si>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</si>
  <si>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</si>
  <si>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</si>
  <si>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</si>
  <si>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</si>
  <si>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</si>
  <si>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</si>
  <si>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</si>
  <si>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</si>
  <si>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</si>
  <si>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</si>
  <si>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</si>
  <si>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</si>
  <si>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</si>
  <si>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</si>
  <si>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</si>
  <si>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</si>
  <si>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</si>
  <si>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</si>
  <si>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</si>
  <si>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</si>
  <si>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</si>
  <si>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</si>
  <si>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</si>
  <si>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</si>
  <si>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</si>
  <si>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</si>
  <si>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</si>
  <si>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</si>
  <si>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</si>
  <si>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</si>
  <si>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</si>
  <si>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</si>
  <si>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</si>
  <si>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</si>
  <si>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</si>
  <si>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</si>
  <si>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</si>
  <si>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</si>
  <si>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</si>
  <si>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</si>
  <si>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</si>
  <si>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</si>
  <si>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</si>
  <si>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</si>
  <si>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</si>
  <si>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</si>
  <si>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</si>
  <si>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</si>
  <si>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</si>
  <si>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</si>
  <si>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</si>
  <si>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</si>
  <si>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</si>
  <si>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</si>
  <si>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</si>
  <si>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</si>
  <si>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</si>
  <si>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</si>
  <si>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</si>
  <si>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</si>
  <si>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</si>
  <si>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</si>
  <si>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</si>
  <si>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</si>
  <si>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</si>
  <si>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</si>
  <si>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</si>
  <si>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</si>
  <si>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</si>
  <si>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</si>
  <si>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</si>
  <si>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</si>
  <si>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</si>
  <si>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</si>
  <si>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</si>
  <si>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</si>
  <si>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</si>
  <si>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</si>
  <si>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</si>
  <si>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</si>
  <si>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</si>
  <si>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</si>
  <si>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</si>
  <si>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</si>
  <si>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</si>
  <si>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</si>
  <si>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</si>
  <si>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</si>
  <si>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</si>
  <si>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</si>
  <si>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</si>
  <si>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</si>
  <si>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</si>
  <si>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</si>
  <si>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</si>
  <si>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</si>
  <si>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</si>
  <si>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</si>
  <si>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</si>
  <si>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</si>
  <si>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</si>
  <si>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</si>
  <si>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</si>
  <si>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</si>
  <si>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</si>
  <si>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</si>
  <si>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</si>
  <si>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</si>
  <si>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</si>
  <si>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</si>
  <si>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</si>
  <si>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</si>
  <si>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</si>
  <si>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</si>
  <si>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</si>
  <si>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</si>
  <si>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</si>
  <si>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</si>
  <si>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</si>
  <si>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</si>
  <si>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</si>
  <si>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</si>
  <si>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</si>
  <si>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</si>
  <si>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</si>
  <si>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</si>
  <si>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</si>
  <si>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</si>
  <si>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</si>
  <si>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</si>
  <si>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</si>
  <si>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</si>
  <si>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</si>
  <si>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</si>
  <si>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</si>
  <si>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</si>
  <si>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</si>
  <si>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</si>
  <si>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</si>
  <si>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</si>
  <si>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</si>
  <si>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</si>
  <si>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</si>
  <si>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</si>
  <si>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</si>
  <si>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</si>
  <si>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</si>
  <si>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</si>
  <si>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</si>
  <si>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</si>
  <si>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</si>
  <si>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</si>
  <si>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</si>
  <si>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</si>
  <si>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</si>
  <si>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</si>
  <si>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</si>
  <si>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</si>
  <si>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</si>
  <si>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</si>
  <si>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</si>
  <si>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</si>
  <si>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</si>
  <si>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</si>
  <si>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</si>
  <si>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</si>
  <si>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</si>
  <si>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</si>
  <si>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</si>
  <si>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</si>
  <si>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</si>
  <si>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</si>
  <si>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</si>
  <si>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</si>
  <si>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</si>
  <si>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</si>
  <si>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</si>
  <si>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</si>
  <si>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</si>
  <si>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</si>
  <si>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</si>
  <si>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</si>
  <si>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</si>
  <si>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</si>
  <si>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</si>
  <si>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</si>
  <si>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</si>
  <si>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</si>
  <si>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</si>
  <si>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</si>
  <si>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</si>
  <si>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</si>
  <si>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</si>
  <si>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</si>
  <si>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</si>
  <si>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</si>
  <si>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</si>
  <si>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</si>
  <si>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</si>
  <si>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</si>
  <si>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</si>
  <si>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</si>
  <si>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</si>
  <si>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</si>
  <si>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</si>
  <si>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</si>
  <si>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</si>
  <si>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</si>
  <si>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</si>
  <si>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</si>
  <si>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</si>
  <si>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</si>
  <si>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</si>
  <si>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</si>
  <si>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</si>
  <si>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</si>
  <si>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</si>
  <si>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</si>
  <si>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</si>
  <si>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</si>
  <si>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</si>
  <si>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</si>
  <si>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</si>
  <si>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</si>
  <si>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</si>
  <si>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</si>
  <si>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</si>
  <si>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</si>
  <si>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</si>
  <si>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</si>
  <si>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</si>
  <si>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</si>
  <si>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</si>
  <si>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</si>
  <si>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</si>
  <si>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</si>
  <si>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</si>
  <si>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</si>
  <si>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</si>
  <si>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</si>
  <si>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</si>
  <si>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</si>
  <si>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</si>
  <si>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</si>
  <si>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</si>
  <si>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</si>
  <si>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</si>
  <si>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</si>
  <si>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</si>
  <si>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</si>
  <si>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</si>
  <si>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</si>
  <si>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</si>
  <si>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</si>
  <si>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</si>
  <si>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</si>
  <si>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</si>
  <si>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</si>
  <si>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</si>
  <si>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</si>
  <si>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</si>
  <si>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</si>
  <si>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</si>
  <si>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</si>
  <si>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</si>
  <si>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</si>
  <si>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</si>
  <si>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</si>
  <si>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</si>
  <si>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</si>
  <si>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</si>
  <si>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</si>
  <si>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</si>
  <si>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</si>
  <si>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</si>
  <si>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</si>
  <si>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</si>
  <si>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</si>
  <si>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</si>
  <si>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</si>
  <si>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</si>
  <si>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</si>
  <si>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</si>
  <si>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</si>
  <si>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</si>
  <si>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</si>
  <si>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</si>
  <si>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</si>
  <si>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</si>
  <si>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</si>
  <si>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</si>
  <si>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</si>
  <si>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</si>
  <si>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</si>
  <si>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</si>
  <si>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</si>
  <si>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</si>
  <si>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</si>
  <si>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</si>
  <si>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</si>
  <si>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</si>
  <si>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</si>
  <si>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</si>
  <si>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</si>
  <si>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</si>
  <si>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</si>
  <si>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</si>
  <si>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</si>
  <si>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</si>
  <si>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</si>
  <si>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</si>
  <si>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</si>
  <si>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</si>
  <si>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</si>
  <si>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</si>
  <si>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</si>
  <si>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</si>
  <si>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</si>
  <si>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</si>
  <si>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</si>
  <si>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</si>
  <si>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</si>
  <si>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</si>
  <si>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</si>
  <si>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</si>
  <si>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</si>
  <si>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</si>
  <si>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</si>
  <si>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</si>
  <si>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</si>
  <si>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</si>
  <si>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</si>
  <si>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</si>
  <si>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</si>
  <si>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</si>
  <si>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</si>
  <si>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</si>
  <si>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</si>
  <si>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</si>
  <si>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</si>
  <si>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</si>
  <si>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</si>
  <si>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</si>
  <si>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</si>
  <si>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</si>
  <si>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</si>
  <si>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</si>
  <si>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</si>
  <si>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</si>
  <si>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</si>
  <si>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</si>
  <si>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</si>
  <si>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</si>
  <si>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</si>
  <si>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</si>
  <si>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</si>
  <si>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</si>
  <si>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</si>
  <si>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</si>
  <si>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</si>
  <si>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</si>
  <si>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</si>
  <si>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</si>
  <si>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</si>
  <si>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</si>
  <si>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</si>
  <si>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</si>
  <si>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</si>
  <si>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</si>
  <si>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</si>
  <si>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</si>
  <si>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</si>
  <si>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</si>
  <si>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</si>
  <si>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</si>
  <si>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</si>
  <si>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</si>
  <si>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</si>
  <si>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</si>
  <si>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</si>
  <si>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</si>
  <si>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</si>
  <si>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</si>
  <si>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</si>
  <si>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</si>
  <si>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</si>
  <si>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</si>
  <si>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</si>
  <si>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</si>
  <si>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</si>
  <si>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</si>
  <si>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</si>
  <si>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</si>
  <si>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</si>
  <si>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</si>
  <si>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</si>
  <si>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</si>
  <si>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</si>
  <si>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</si>
  <si>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</si>
  <si>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</si>
  <si>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</si>
  <si>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</si>
  <si>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</si>
  <si>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</si>
  <si>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</si>
  <si>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</si>
  <si>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</si>
  <si>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</si>
  <si>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</si>
  <si>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</si>
  <si>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</si>
  <si>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</si>
  <si>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</si>
  <si>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</si>
  <si>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</si>
  <si>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</si>
  <si>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</si>
  <si>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</si>
  <si>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</si>
  <si>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</si>
  <si>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</si>
  <si>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</si>
  <si>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</si>
  <si>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</si>
  <si>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</si>
  <si>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</si>
  <si>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</si>
  <si>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</si>
  <si>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</si>
  <si>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</si>
  <si>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</si>
  <si>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</si>
  <si>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</si>
  <si>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</si>
  <si>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</si>
  <si>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</si>
  <si>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</si>
  <si>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</si>
  <si>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</si>
  <si>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</si>
  <si>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</si>
  <si>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</si>
  <si>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</si>
  <si>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</si>
  <si>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</si>
  <si>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</si>
  <si>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</si>
  <si>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</si>
  <si>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</si>
  <si>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</si>
  <si>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</si>
  <si>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</si>
  <si>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</si>
  <si>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</si>
  <si>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</si>
  <si>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</si>
  <si>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</si>
  <si>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</si>
  <si>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</si>
  <si>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</si>
  <si>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</si>
  <si>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</si>
  <si>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</si>
  <si>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</si>
  <si>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</si>
  <si>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</si>
  <si>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</si>
  <si>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</si>
  <si>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</si>
  <si>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</si>
  <si>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</si>
  <si>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</si>
  <si>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</si>
  <si>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</si>
  <si>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</si>
  <si>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</si>
  <si>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</si>
  <si>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</si>
  <si>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</si>
  <si>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</si>
  <si>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</si>
  <si>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</si>
  <si>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</si>
  <si>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</si>
  <si>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</si>
  <si>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</si>
  <si>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</si>
  <si>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</si>
  <si>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</si>
  <si>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</si>
  <si>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</si>
  <si>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</si>
  <si>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</si>
  <si>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</si>
  <si>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</si>
  <si>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</si>
  <si>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</si>
  <si>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</si>
  <si>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</si>
  <si>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</si>
  <si>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</si>
  <si>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</si>
  <si>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</si>
  <si>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</si>
  <si>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</si>
  <si>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</si>
  <si>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</si>
  <si>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</si>
  <si>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</si>
  <si>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</si>
  <si>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</si>
  <si>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</si>
  <si>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</si>
  <si>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</si>
  <si>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</si>
  <si>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</si>
  <si>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</si>
  <si>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</si>
  <si>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</si>
  <si>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</si>
  <si>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</si>
  <si>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</si>
  <si>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</si>
  <si>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</si>
  <si>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</si>
  <si>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</si>
  <si>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</si>
  <si>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</si>
  <si>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</si>
  <si>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</si>
  <si>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</si>
  <si>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</si>
  <si>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</si>
  <si>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</si>
  <si>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</si>
  <si>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</si>
  <si>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</si>
  <si>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</si>
  <si>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</si>
  <si>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</si>
  <si>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</si>
  <si>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</si>
  <si>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</si>
  <si>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</si>
  <si>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</si>
  <si>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</si>
  <si>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</si>
  <si>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</si>
  <si>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</si>
  <si>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</si>
  <si>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</si>
  <si>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</si>
  <si>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</si>
  <si>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</si>
  <si>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</si>
  <si>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</si>
  <si>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</si>
  <si>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</si>
  <si>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</si>
  <si>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</si>
  <si>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</si>
  <si>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</si>
  <si>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</si>
  <si>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</si>
  <si>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</si>
  <si>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</si>
  <si>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</si>
  <si>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</si>
  <si>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</si>
  <si>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</si>
  <si>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</si>
  <si>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</si>
  <si>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</si>
  <si>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</si>
  <si>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</si>
  <si>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</si>
  <si>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</si>
  <si>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</si>
  <si>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</si>
  <si>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</si>
  <si>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</si>
  <si>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</si>
  <si>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</si>
  <si>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</si>
  <si>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</si>
  <si>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</si>
  <si>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</si>
  <si>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</si>
  <si>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</si>
  <si>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</si>
  <si>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</si>
  <si>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</si>
  <si>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</si>
  <si>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</si>
  <si>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</si>
  <si>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</si>
  <si>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</si>
  <si>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</si>
  <si>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</si>
  <si>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</si>
  <si>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</si>
  <si>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</si>
  <si>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</si>
  <si>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</si>
  <si>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</si>
  <si>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</si>
  <si>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</si>
  <si>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</si>
  <si>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</si>
  <si>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</si>
  <si>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</si>
  <si>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</si>
  <si>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</si>
  <si>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</si>
  <si>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</si>
  <si>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</si>
  <si>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</si>
  <si>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</si>
  <si>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</si>
  <si>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</si>
  <si>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</si>
  <si>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</si>
  <si>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</si>
  <si>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</si>
  <si>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</si>
  <si>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</si>
  <si>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</si>
  <si>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</si>
  <si>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</si>
  <si>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</si>
  <si>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</si>
  <si>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</si>
  <si>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</si>
  <si>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</si>
  <si>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</si>
  <si>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</si>
  <si>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</si>
  <si>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</si>
  <si>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</si>
  <si>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</si>
  <si>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</si>
  <si>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</si>
  <si>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</si>
  <si>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</si>
  <si>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</si>
  <si>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</si>
  <si>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</si>
  <si>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</si>
  <si>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</si>
  <si>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</si>
  <si>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</si>
  <si>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</si>
  <si>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</si>
  <si>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</si>
  <si>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</si>
  <si>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</si>
  <si>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</si>
  <si>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</si>
  <si>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</si>
  <si>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</si>
  <si>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</si>
  <si>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</si>
  <si>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</si>
  <si>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</si>
  <si>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</si>
  <si>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</si>
  <si>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</si>
  <si>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</si>
  <si>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</si>
  <si>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</si>
  <si>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</si>
  <si>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</si>
  <si>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</si>
  <si>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</si>
  <si>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</si>
  <si>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</si>
  <si>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</si>
  <si>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</si>
  <si>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</si>
  <si>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</si>
  <si>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</si>
  <si>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</si>
  <si>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</si>
  <si>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</si>
  <si>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</si>
  <si>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</si>
  <si>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</si>
  <si>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</si>
  <si>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</si>
  <si>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</si>
  <si>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</si>
  <si>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</si>
  <si>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</si>
  <si>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</si>
  <si>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</si>
  <si>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</si>
  <si>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</si>
  <si>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</si>
  <si>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</si>
  <si>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</si>
  <si>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</si>
  <si>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</si>
  <si>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</si>
  <si>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</si>
  <si>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</si>
  <si>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</si>
  <si>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</si>
  <si>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</si>
  <si>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</si>
  <si>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</si>
  <si>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</si>
  <si>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</si>
  <si>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</si>
  <si>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</si>
  <si>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</si>
  <si>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</si>
  <si>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</si>
  <si>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</si>
  <si>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</si>
  <si>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</si>
  <si>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</si>
  <si>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</si>
  <si>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</si>
  <si>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</si>
  <si>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</si>
  <si>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</si>
  <si>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</si>
  <si>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</si>
  <si>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</si>
  <si>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</si>
  <si>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</si>
  <si>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</si>
  <si>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</si>
  <si>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</si>
  <si>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</si>
  <si>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</si>
  <si>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</si>
  <si>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</si>
  <si>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</si>
  <si>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</si>
  <si>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</si>
  <si>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</si>
  <si>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</si>
  <si>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</si>
  <si>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</si>
  <si>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</si>
  <si>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</si>
  <si>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</si>
  <si>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</si>
  <si>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</si>
  <si>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</si>
  <si>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</si>
  <si>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</si>
  <si>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</si>
  <si>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</si>
  <si>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</si>
  <si>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</si>
  <si>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</si>
  <si>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</si>
  <si>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</si>
  <si>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</si>
  <si>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</si>
  <si>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</si>
  <si>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</si>
  <si>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</si>
  <si>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</si>
  <si>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</si>
  <si>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</si>
  <si>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</si>
  <si>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</si>
  <si>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</si>
  <si>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</si>
  <si>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</si>
  <si>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</si>
  <si>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</si>
  <si>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</si>
  <si>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</si>
  <si>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</si>
  <si>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</si>
  <si>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</si>
  <si>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</si>
  <si>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</si>
  <si>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</si>
  <si>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</si>
  <si>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</si>
  <si>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</si>
  <si>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</si>
  <si>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</si>
  <si>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</si>
  <si>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</si>
  <si>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</si>
  <si>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</si>
  <si>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</si>
  <si>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</si>
  <si>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</si>
  <si>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</si>
  <si>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</si>
  <si>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</si>
  <si>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</si>
  <si>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</si>
  <si>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</si>
  <si>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</si>
  <si>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</si>
  <si>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</si>
  <si>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</si>
  <si>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</si>
  <si>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</si>
  <si>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</si>
  <si>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</si>
  <si>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</si>
  <si>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</si>
  <si>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</si>
  <si>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</si>
  <si>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</si>
  <si>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</si>
  <si>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</si>
  <si>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</si>
  <si>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</si>
  <si>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</si>
  <si>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</si>
  <si>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</si>
  <si>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</si>
  <si>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</si>
  <si>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</si>
  <si>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</si>
  <si>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</si>
  <si>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</si>
  <si>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</si>
  <si>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</si>
  <si>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</si>
  <si>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</si>
  <si>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</si>
  <si>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</si>
  <si>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</si>
  <si>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</si>
  <si>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</si>
  <si>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</si>
  <si>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</si>
  <si>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</si>
  <si>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</si>
  <si>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</si>
  <si>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</si>
  <si>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</si>
  <si>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</si>
  <si>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</si>
  <si>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</si>
  <si>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</si>
  <si>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</si>
  <si>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</si>
  <si>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</si>
  <si>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</si>
  <si>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</si>
  <si>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</si>
  <si>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</si>
  <si>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</si>
  <si>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</si>
  <si>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</si>
  <si>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</si>
  <si>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</si>
  <si>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</si>
  <si>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</si>
  <si>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</si>
  <si>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</si>
  <si>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</si>
  <si>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</si>
  <si>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</si>
  <si>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</si>
  <si>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</si>
  <si>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</si>
  <si>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</si>
  <si>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</si>
  <si>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</si>
  <si>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</si>
  <si>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</si>
  <si>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</si>
  <si>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</si>
  <si>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</si>
  <si>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</si>
  <si>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</si>
  <si>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</si>
  <si>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</si>
  <si>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</si>
  <si>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</si>
  <si>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</si>
  <si>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</si>
  <si>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</si>
  <si>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</si>
  <si>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</si>
  <si>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</si>
  <si>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</si>
  <si>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</si>
  <si>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</si>
  <si>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</si>
  <si>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</si>
  <si>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</si>
  <si>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</si>
  <si>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</si>
  <si>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</si>
  <si>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</si>
  <si>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</si>
  <si>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</si>
  <si>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</si>
  <si>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</si>
  <si>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</si>
  <si>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</si>
  <si>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</si>
  <si>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</si>
  <si>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</si>
  <si>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</si>
  <si>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</si>
  <si>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</si>
  <si>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</si>
  <si>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</si>
  <si>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</si>
  <si>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</si>
  <si>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</si>
  <si>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</si>
  <si>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</si>
  <si>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</si>
  <si>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</si>
  <si>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</si>
  <si>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</si>
  <si>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</si>
  <si>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</si>
  <si>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</si>
  <si>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</si>
  <si>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</si>
  <si>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</si>
  <si>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</si>
  <si>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</si>
  <si>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</si>
  <si>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</si>
  <si>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</si>
  <si>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</si>
  <si>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</si>
  <si>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</si>
  <si>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</si>
  <si>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</si>
  <si>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</si>
  <si>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</si>
  <si>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</si>
  <si>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</si>
  <si>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</si>
  <si>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</si>
  <si>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</si>
  <si>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</si>
  <si>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</si>
  <si>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</si>
  <si>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</si>
  <si>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</si>
  <si>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</si>
  <si>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</si>
  <si>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</si>
  <si>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</si>
  <si>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</si>
  <si>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</si>
  <si>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</si>
  <si>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</si>
  <si>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</si>
  <si>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</si>
  <si>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</si>
  <si>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</si>
  <si>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</si>
  <si>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</si>
  <si>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</si>
  <si>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</si>
  <si>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</si>
  <si>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</si>
  <si>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</si>
  <si>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</si>
  <si>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</si>
  <si>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</si>
  <si>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</si>
  <si>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</si>
  <si>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</si>
  <si>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</si>
  <si>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</si>
  <si>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</si>
  <si>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</si>
  <si>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</si>
  <si>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</si>
  <si>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</si>
  <si>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</si>
  <si>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</si>
  <si>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</si>
  <si>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</si>
  <si>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</si>
  <si>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</si>
  <si>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</si>
  <si>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</si>
  <si>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</si>
  <si>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</si>
  <si>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</si>
  <si>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</si>
  <si>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</si>
  <si>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</si>
  <si>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</si>
  <si>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</si>
  <si>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</si>
  <si>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</si>
  <si>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</si>
  <si>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</si>
  <si>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</si>
  <si>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</si>
  <si>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</si>
  <si>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</si>
  <si>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</si>
  <si>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</si>
  <si>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</si>
  <si>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</si>
  <si>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</si>
  <si>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</si>
  <si>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</si>
  <si>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</si>
  <si>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</si>
  <si>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</si>
  <si>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</si>
  <si>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</si>
  <si>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</si>
  <si>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</si>
  <si>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</si>
  <si>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</si>
  <si>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</si>
  <si>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</si>
  <si>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</si>
  <si>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</si>
  <si>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</si>
  <si>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</si>
  <si>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</si>
  <si>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</si>
  <si>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</si>
  <si>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</si>
  <si>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</si>
  <si>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</si>
  <si>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</si>
  <si>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</si>
  <si>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</si>
  <si>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</si>
  <si>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</si>
  <si>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</si>
  <si>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</si>
  <si>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</si>
  <si>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</si>
  <si>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</si>
  <si>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</si>
  <si>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</si>
  <si>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</si>
  <si>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</si>
  <si>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</si>
  <si>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</si>
  <si>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</si>
  <si>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</si>
  <si>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</si>
  <si>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</si>
  <si>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</si>
  <si>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</si>
  <si>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</si>
  <si>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</si>
  <si>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</si>
  <si>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</si>
  <si>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</si>
  <si>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</si>
  <si>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</si>
  <si>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</si>
  <si>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</si>
  <si>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</si>
  <si>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</si>
  <si>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</si>
  <si>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</si>
  <si>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</si>
  <si>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</si>
  <si>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</si>
  <si>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</si>
  <si>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</si>
  <si>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</si>
  <si>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</si>
  <si>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</si>
  <si>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</si>
  <si>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</si>
  <si>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</si>
  <si>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</si>
  <si>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</si>
  <si>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</si>
  <si>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</si>
  <si>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</si>
  <si>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</si>
  <si>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</si>
  <si>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</si>
  <si>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</si>
  <si>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</si>
  <si>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</si>
  <si>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</si>
  <si>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</si>
  <si>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</si>
  <si>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</si>
  <si>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</si>
  <si>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</si>
  <si>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</si>
  <si>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</si>
  <si>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</si>
  <si>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</si>
  <si>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</si>
  <si>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</si>
  <si>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</si>
  <si>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</si>
  <si>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</si>
  <si>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</si>
  <si>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</si>
  <si>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</si>
  <si>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</si>
  <si>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</si>
  <si>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</si>
  <si>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</si>
  <si>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</si>
  <si>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</si>
  <si>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</si>
  <si>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</si>
  <si>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</si>
  <si>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</si>
  <si>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</si>
  <si>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</si>
  <si>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</si>
  <si>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</si>
  <si>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</si>
  <si>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</si>
  <si>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</si>
  <si>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</si>
  <si>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</si>
  <si>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</si>
  <si>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</si>
  <si>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</si>
  <si>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</si>
  <si>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</si>
  <si>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</si>
  <si>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</si>
  <si>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</si>
  <si>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</si>
  <si>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</si>
  <si>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</si>
  <si>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</si>
  <si>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</si>
  <si>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</si>
  <si>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</si>
  <si>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</si>
  <si>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</si>
  <si>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</si>
  <si>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</si>
  <si>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</si>
  <si>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</si>
  <si>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</si>
  <si>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</si>
  <si>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</si>
  <si>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</si>
  <si>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</si>
  <si>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</si>
  <si>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</si>
  <si>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</si>
  <si>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</si>
  <si>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</si>
  <si>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</si>
  <si>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</si>
  <si>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</si>
  <si>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</si>
  <si>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</si>
  <si>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</si>
  <si>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</si>
  <si>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</si>
  <si>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</si>
  <si>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</si>
  <si>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</si>
  <si>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</si>
  <si>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</si>
  <si>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</si>
  <si>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</si>
  <si>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</si>
  <si>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</si>
  <si>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</si>
  <si>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</si>
  <si>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</si>
  <si>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</si>
  <si>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</si>
  <si>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</si>
  <si>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</si>
  <si>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</si>
  <si>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</si>
  <si>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</si>
  <si>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</si>
  <si>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</si>
  <si>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</si>
  <si>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</si>
  <si>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</si>
  <si>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</si>
  <si>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</si>
  <si>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</si>
  <si>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</si>
  <si>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</si>
  <si>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</si>
  <si>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</si>
  <si>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</si>
  <si>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</si>
  <si>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</si>
  <si>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</si>
  <si>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</si>
  <si>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</si>
  <si>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</si>
  <si>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</si>
  <si>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</si>
  <si>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</si>
  <si>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</si>
  <si>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</si>
  <si>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</si>
  <si>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</si>
  <si>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</si>
  <si>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</si>
  <si>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</si>
  <si>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</si>
  <si>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</si>
  <si>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</si>
  <si>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</si>
  <si>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</si>
  <si>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</si>
  <si>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</si>
  <si>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</si>
  <si>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</si>
  <si>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</si>
  <si>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</si>
  <si>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</si>
  <si>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</si>
  <si>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</si>
  <si>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</si>
  <si>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</si>
  <si>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</si>
  <si>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</si>
  <si>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</si>
  <si>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</si>
  <si>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</si>
  <si>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</si>
  <si>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</si>
  <si>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</si>
  <si>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</si>
  <si>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</si>
  <si>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</si>
  <si>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</si>
  <si>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</si>
  <si>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</si>
  <si>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</si>
  <si>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</si>
  <si>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</si>
  <si>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</si>
  <si>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</si>
  <si>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</si>
  <si>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</si>
  <si>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</si>
  <si>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</si>
  <si>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</si>
  <si>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</si>
  <si>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</si>
  <si>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</si>
  <si>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</si>
  <si>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</si>
  <si>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</si>
  <si>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</si>
  <si>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</si>
  <si>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</si>
  <si>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</si>
  <si>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</si>
  <si>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</si>
  <si>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</si>
  <si>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</si>
  <si>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</si>
  <si>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</si>
  <si>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</si>
  <si>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</si>
  <si>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</si>
  <si>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</si>
  <si>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</si>
  <si>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</si>
  <si>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</si>
  <si>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</si>
  <si>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</si>
  <si>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</si>
  <si>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</si>
  <si>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</si>
  <si>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</si>
  <si>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</si>
  <si>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</si>
  <si>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</si>
  <si>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</si>
  <si>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</si>
  <si>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</si>
  <si>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</si>
  <si>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</si>
  <si>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</si>
  <si>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</si>
  <si>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</si>
  <si>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</si>
  <si>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</si>
  <si>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</si>
  <si>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</si>
  <si>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</si>
  <si>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</si>
  <si>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</si>
  <si>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</si>
  <si>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</si>
  <si>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</si>
  <si>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</si>
  <si>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</si>
  <si>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</si>
  <si>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</si>
  <si>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</si>
  <si>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</si>
  <si>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</si>
  <si>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</si>
  <si>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</si>
  <si>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</si>
  <si>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</si>
  <si>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</si>
  <si>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</si>
  <si>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</si>
  <si>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</si>
  <si>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</si>
  <si>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</si>
  <si>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</si>
  <si>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</si>
  <si>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</si>
  <si>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</si>
  <si>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</si>
  <si>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</si>
  <si>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</si>
  <si>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</si>
  <si>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</si>
  <si>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</si>
  <si>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</si>
  <si>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</si>
  <si>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</si>
  <si>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</si>
  <si>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</si>
  <si>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</si>
  <si>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</si>
  <si>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</si>
  <si>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</si>
  <si>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</si>
  <si>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</si>
  <si>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</si>
  <si>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</si>
  <si>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</si>
  <si>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</si>
  <si>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</si>
  <si>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</si>
  <si>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</si>
  <si>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</si>
  <si>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</si>
  <si>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</si>
  <si>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</si>
  <si>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</si>
  <si>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</si>
  <si>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</si>
  <si>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</si>
  <si>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</si>
  <si>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</si>
  <si>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</si>
  <si>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</si>
  <si>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</si>
  <si>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</si>
  <si>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</si>
  <si>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</si>
  <si>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</si>
  <si>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</si>
  <si>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</si>
  <si>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</si>
  <si>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</si>
  <si>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</si>
  <si>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</si>
  <si>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</si>
  <si>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</si>
  <si>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</si>
  <si>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</si>
  <si>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</si>
  <si>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</si>
  <si>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</si>
  <si>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</si>
  <si>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</si>
  <si>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</si>
  <si>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</si>
  <si>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</si>
  <si>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</si>
  <si>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</si>
  <si>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</si>
  <si>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</si>
  <si>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</si>
  <si>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</si>
  <si>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</si>
  <si>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</si>
  <si>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</si>
  <si>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</si>
  <si>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</si>
  <si>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</si>
  <si>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</si>
  <si>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</si>
  <si>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</si>
  <si>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</si>
  <si>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</si>
  <si>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</si>
  <si>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</si>
  <si>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</si>
  <si>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</si>
  <si>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</si>
  <si>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</si>
  <si>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</si>
  <si>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</si>
  <si>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</si>
  <si>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</si>
  <si>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</si>
  <si>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</si>
  <si>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</si>
  <si>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</si>
  <si>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</si>
  <si>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</si>
  <si>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</si>
  <si>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</si>
  <si>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</si>
  <si>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</si>
  <si>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</si>
  <si>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</si>
  <si>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</si>
  <si>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</si>
  <si>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</si>
  <si>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</si>
  <si>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</si>
  <si>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</si>
  <si>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</si>
  <si>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</si>
  <si>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</si>
  <si>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</si>
  <si>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</si>
  <si>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</si>
  <si>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</si>
  <si>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</si>
  <si>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</si>
  <si>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</si>
  <si>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</si>
  <si>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</si>
  <si>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</si>
  <si>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</si>
  <si>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</si>
  <si>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</si>
  <si>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</si>
  <si>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</si>
  <si>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</si>
  <si>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</si>
  <si>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</si>
  <si>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</si>
  <si>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</si>
  <si>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</si>
  <si>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</si>
  <si>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</si>
  <si>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</si>
  <si>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</si>
  <si>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</si>
  <si>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</si>
  <si>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</si>
  <si>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</si>
  <si>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</si>
  <si>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</si>
  <si>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</si>
  <si>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</si>
  <si>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</si>
  <si>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</si>
  <si>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</si>
  <si>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</si>
  <si>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</si>
  <si>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</si>
  <si>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</si>
  <si>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</si>
  <si>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</si>
  <si>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</si>
  <si>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</si>
  <si>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</si>
  <si>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</si>
  <si>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</si>
  <si>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</si>
  <si>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</si>
  <si>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</si>
  <si>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</si>
  <si>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</si>
  <si>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</si>
  <si>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</si>
  <si>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</si>
  <si>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</si>
  <si>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</si>
  <si>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</si>
  <si>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</si>
  <si>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</si>
  <si>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</si>
  <si>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</si>
  <si>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</si>
  <si>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</si>
  <si>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</si>
  <si>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</si>
  <si>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</si>
  <si>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</si>
  <si>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</si>
  <si>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</si>
  <si>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</si>
  <si>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</si>
  <si>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</si>
  <si>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</si>
  <si>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</si>
  <si>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</si>
  <si>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</si>
  <si>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</si>
  <si>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</si>
  <si>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Competitive Round</t>
  </si>
  <si>
    <t>Allan Rappuhn</t>
  </si>
  <si>
    <t>President</t>
  </si>
  <si>
    <t>920 Florence Blvd</t>
  </si>
  <si>
    <t>Florence</t>
  </si>
  <si>
    <t>arappuhn@gatewaymgt.com</t>
  </si>
  <si>
    <t>Heritage Vista Apartments</t>
  </si>
  <si>
    <t>No</t>
  </si>
  <si>
    <t>3029 Heritage Place</t>
  </si>
  <si>
    <t>Baldwin County</t>
  </si>
  <si>
    <t>Linda Fussell</t>
  </si>
  <si>
    <t>Commissioner</t>
  </si>
  <si>
    <t>121 N. Wilkinson Street</t>
  </si>
  <si>
    <t>Family</t>
  </si>
  <si>
    <t>Yes</t>
  </si>
  <si>
    <t>Heritage Vista Apartments, LP</t>
  </si>
  <si>
    <t>General Partner</t>
  </si>
  <si>
    <t>applied for</t>
  </si>
  <si>
    <t>AL-5</t>
  </si>
  <si>
    <t>Gateway Heritage Vista, LLC</t>
  </si>
  <si>
    <t>Managing Member</t>
  </si>
  <si>
    <t>Director of Acquisitions</t>
  </si>
  <si>
    <t>Gateway Construction Corporation</t>
  </si>
  <si>
    <t>Gateway Properties, LLC</t>
  </si>
  <si>
    <t>Member</t>
  </si>
  <si>
    <t>Park Lane Construction, LLC</t>
  </si>
  <si>
    <t>Scott Parker</t>
  </si>
  <si>
    <t>100 Village Street</t>
  </si>
  <si>
    <t>Birmingham</t>
  </si>
  <si>
    <t>scott.parker@parklaneconstruction.com</t>
  </si>
  <si>
    <t>Gateway Management Company, LLC</t>
  </si>
  <si>
    <t>Randy Fleece</t>
  </si>
  <si>
    <t>200 Cahaba Circle Ste 116</t>
  </si>
  <si>
    <t>rfleece@gatewaymgt.com</t>
  </si>
  <si>
    <t>Coleman Talley</t>
  </si>
  <si>
    <t>Thompson Kurrie, Jr</t>
  </si>
  <si>
    <t>910 N. Patterson Street</t>
  </si>
  <si>
    <t>Partner</t>
  </si>
  <si>
    <t>tom.kurrie@colemantalley.com</t>
  </si>
  <si>
    <t>Tidwell Group</t>
  </si>
  <si>
    <t>Barry Tidwell</t>
  </si>
  <si>
    <t>361 Summit Boulevard Suite 210</t>
  </si>
  <si>
    <t>Managing Partner</t>
  </si>
  <si>
    <t>barry.tidwell@tidwellgroup.com</t>
  </si>
  <si>
    <t>McKean &amp; Associates</t>
  </si>
  <si>
    <t>Rory McKean</t>
  </si>
  <si>
    <t>2815-B Zelda Road</t>
  </si>
  <si>
    <t>mckean@mckeanarch.com</t>
  </si>
  <si>
    <t>For Profit</t>
  </si>
  <si>
    <t>2-Story Walkup</t>
  </si>
  <si>
    <t>Electric Heat Pump</t>
  </si>
  <si>
    <t>DCA Utility Allowance Middle Region</t>
  </si>
  <si>
    <t>N/A-CS</t>
  </si>
  <si>
    <t>Common</t>
  </si>
  <si>
    <t>Floating</t>
  </si>
  <si>
    <t>Construction costs are based on Powell Place Apartments which have just been completed. The building types are identical and Powell Place has Earthcraft Building design requirements incorporated.</t>
  </si>
  <si>
    <t>DCA HOME Loan</t>
  </si>
  <si>
    <t>Gateway Construction Corp</t>
  </si>
  <si>
    <t>Agree</t>
  </si>
  <si>
    <t>Koontz &amp; Salanger</t>
  </si>
  <si>
    <t>Geotechnical and Environmental Consultants</t>
  </si>
  <si>
    <t>None</t>
  </si>
  <si>
    <t>Contract/Option</t>
  </si>
  <si>
    <t>Georgia Power</t>
  </si>
  <si>
    <t>City of Milledgeville</t>
  </si>
  <si>
    <t>Baldwin County does not have zoning. Verification that the proposed development meets the land use code is located in TAB 14</t>
  </si>
  <si>
    <t>The City of Milledgeville provides water and sewer service to the site. The availability letter is located in TAB 15</t>
  </si>
  <si>
    <t>Gazebo</t>
  </si>
  <si>
    <t>On-site laundry</t>
  </si>
  <si>
    <t>Qualified without Conditions</t>
  </si>
  <si>
    <t>Racially mixed</t>
  </si>
  <si>
    <t>9702, 9704,9705, 9603</t>
  </si>
  <si>
    <t>The project is new construction on vacant land. No relocation applies</t>
  </si>
  <si>
    <t>Earth Craft House</t>
  </si>
  <si>
    <t>Stable Communities &lt; 10%</t>
  </si>
  <si>
    <t>Stony Ridge Apartments</t>
  </si>
  <si>
    <t>Pass</t>
  </si>
  <si>
    <t>Noise levels were within acceptable range</t>
  </si>
  <si>
    <t>The required documents were submitted in the pre-application stage. DCA Uniform Release Forms will be provided upon request.</t>
  </si>
  <si>
    <t>Market plans will be submitted prior to issuance of 8609's</t>
  </si>
  <si>
    <t>2008-045 Preston Place Apartments,  2009-005 Powell Place Apartments, 2009-006 Woodlawn Terrace Apartments</t>
  </si>
  <si>
    <t>6 to 9 months</t>
  </si>
  <si>
    <t>3 months</t>
  </si>
  <si>
    <t>2008-049</t>
  </si>
  <si>
    <t>Baldwin Park Senior</t>
  </si>
  <si>
    <t>The buildings will be Earthcraft Multifamily certified and will offer residents unparallelled energy efficient units to minimize utility costs.  The project will offer residents a community building, on site laundry, gazebo, playground and a computer center. Unit amenities will include energy star appliances, ceiling fans and washer and dryer connections in each unit. The Baldwin County Commission voted unanimously to support Heritage Vista Apartments and were pleased with the benefits the site offered residents and the safety afforded by having traffic control at the intersection of Heritage Place and Hwy 441.</t>
  </si>
  <si>
    <t>Heritage Vista Apartments presents on opportunity to provide safe, decent and affordable housing to a community that is desparately sensitive to affordability. Milledgeville is home to Georiga College and State University and Georgia Military College, both of which create a large demand for rental housing and push up rental rates in the market.  This development will create much needed affordable housing in a location that offers easy access to goods, services and employment centers. the site is elevated and will benefit from excellent visibility from US Hwy 441 below.</t>
  </si>
  <si>
    <t>Raymond James Tax Credit Funds</t>
  </si>
  <si>
    <t>880 Carillon Parkway</t>
  </si>
  <si>
    <t>John Colvin</t>
  </si>
  <si>
    <t>St. Petersburg</t>
  </si>
  <si>
    <t>john.colvin@raymondjames.com</t>
  </si>
  <si>
    <t>Director of Acquistions</t>
  </si>
  <si>
    <t>Insurance calculation:  Assumed insured value of $6,377,616 X.0038 (insurance rate across our portfolio) = $21,542</t>
  </si>
  <si>
    <t>DASH Development Corporation is a 1% member of Gateway Heritage Vista, LLC</t>
  </si>
  <si>
    <t>Gateway Construction / DASH Development</t>
  </si>
  <si>
    <t>Allan Rappuhn serves as Managing Member of Gateway Heritage Vista, the General Partner; sole owner of the developers, Gateway Construction Corporation and Gateway Properties, LLC; and as sole member of Gateway Management Company, LLC, the property manager.</t>
  </si>
  <si>
    <t>Real Estate Taxes were calculated assuming a tax value of $45,000 per unit or $2,880,000 X 40% X .03408 =$39,296</t>
  </si>
  <si>
    <t xml:space="preserve">Heritage Vista Apartments is a proposed 64 unit apartment community located on a 14.97 acre parcel, a portion of which is located in the City of Milledgeville, however the residential units will be located in unincorporated Baldwin County.  The project will be located on an elevated site that will provide visibility from US Hwy 441 and is close to goods and services. The site is accessed from Heritage Place ,a dead end street with traffic control at the intersection with Hwy 441.  Wal-Mart is located directly across Hwy 441 and goods and servies abound. Restaurants, banking, daycare and shopping are all easily accesible from the site.  Milledgeville and Baldwin County have begun to recover from the recent economic downturn.  An aerospace company has just announced it will create 250 new jobs and Kroger is building a large center just to the north of the site.  Georgia College continues to be a strong economic engine for the area and continues to fuel growth in the community.  </t>
  </si>
  <si>
    <t>CEO</t>
  </si>
  <si>
    <t>DCA HOME IPS</t>
  </si>
  <si>
    <t>Heritage Vista Apartments is located in Baldwin County which has not had a tax credit award in the past 4 cycles.  Baldwin Park Senior is located in the City of Milledgeville and has a strong occupancy.</t>
  </si>
  <si>
    <t>The Site Plan located in TAB 18 shows all development located in excess of 100' from wetland areas.</t>
  </si>
  <si>
    <t>The Purchase and Sale agreements have been assigned to Heritage Vista Apartments, LP. The purchase and sale agreements are located in TAB 12.</t>
  </si>
  <si>
    <t>See the survey located in TAB 13 for access to Heritage Place.</t>
  </si>
  <si>
    <t>The electricity availability letter is located in TAB 15</t>
  </si>
  <si>
    <t>A Resolution of Support and letter of support from the Baldwin County Commission is located in TAB 16 along with minutes from the public meeting</t>
  </si>
  <si>
    <t>See TAB 18 for the conceptual site plan.</t>
  </si>
  <si>
    <t>DASH Development Corporation has been added as an owner participant.</t>
  </si>
  <si>
    <t>Heritage Vista is not applying for the nonprofit set-aside</t>
  </si>
  <si>
    <t>See TAB 20 for Site and Neighborhood Standards documentation.</t>
  </si>
  <si>
    <t>See TAB 12 for the HOME Contract Addendums</t>
  </si>
  <si>
    <t>All projects are listed on Georgia Housing Search</t>
  </si>
  <si>
    <t>The project exceeds 15% of the units at the 50% rent level.</t>
  </si>
  <si>
    <t>See TAB 24 for desirable activites maps and photos</t>
  </si>
  <si>
    <t>The project will meet Earthcraft Multifamily certification. See TAB 29 for the checksheet with over 200 points selected.</t>
  </si>
  <si>
    <t>See TAB 30 for FFIEC demographics showing the project is eligible for 4 points.</t>
  </si>
  <si>
    <t>The project is located in Baldwin County not in the City of Milledgeville.  See TAB 18</t>
  </si>
  <si>
    <t>See Market Study located in TAB 9</t>
  </si>
  <si>
    <t>Owner agrees to waive the qualified contract right for a period of atleast 5 years</t>
  </si>
  <si>
    <t>See DCA list of eligible rural counties in TAB 1</t>
  </si>
  <si>
    <t>See TAB 5 for HOME Consent</t>
  </si>
  <si>
    <t>Developer is in compliance with MITAS system requirments. Owner/ Developer agrees to market to tenants with special needs.</t>
  </si>
  <si>
    <t>See narrative in TAB 1</t>
  </si>
  <si>
    <t>See TAB 38.</t>
  </si>
  <si>
    <t>2011-020</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</si>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</sst>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C31" sqref="C31"/>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2011-020, Heritage Vista Apartments, Baldwin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3828</v>
      </c>
      <c r="B3" s="768"/>
      <c r="C3" s="768"/>
      <c r="D3" s="768"/>
      <c r="E3" s="768"/>
      <c r="F3" s="768"/>
      <c r="G3" s="768"/>
    </row>
    <row r="4" spans="1:9" s="42" customFormat="1" ht="8.25" customHeight="1">
      <c r="A4" s="98"/>
      <c r="B4" s="757" t="s">
        <v>1339</v>
      </c>
      <c r="C4" s="758"/>
      <c r="D4" s="758"/>
      <c r="E4" s="758" t="s">
        <v>3894</v>
      </c>
      <c r="F4" s="763"/>
      <c r="G4" s="99" t="s">
        <v>782</v>
      </c>
    </row>
    <row r="5" spans="1:9" s="42" customFormat="1" ht="8.25" customHeight="1">
      <c r="A5" s="100" t="s">
        <v>784</v>
      </c>
      <c r="B5" s="759"/>
      <c r="C5" s="760"/>
      <c r="D5" s="760"/>
      <c r="E5" s="760"/>
      <c r="F5" s="764"/>
      <c r="G5" s="101" t="s">
        <v>785</v>
      </c>
    </row>
    <row r="6" spans="1:9" s="42" customFormat="1" ht="8.25" customHeight="1">
      <c r="A6" s="102" t="s">
        <v>786</v>
      </c>
      <c r="B6" s="761"/>
      <c r="C6" s="762"/>
      <c r="D6" s="762"/>
      <c r="E6" s="762"/>
      <c r="F6" s="765"/>
      <c r="G6" s="103" t="s">
        <v>787</v>
      </c>
    </row>
    <row r="7" spans="1:9" s="42" customFormat="1" ht="3" customHeight="1">
      <c r="A7" s="100"/>
      <c r="B7" s="394"/>
      <c r="C7" s="394"/>
      <c r="D7" s="394"/>
      <c r="E7" s="306"/>
      <c r="F7" s="712"/>
      <c r="G7" s="311"/>
    </row>
    <row r="8" spans="1:9" s="42" customFormat="1" ht="12.6" customHeight="1" thickBot="1">
      <c r="A8" s="104"/>
      <c r="B8" s="709"/>
      <c r="C8" s="391"/>
      <c r="D8" s="391"/>
      <c r="E8" s="709" t="s">
        <v>1076</v>
      </c>
      <c r="F8" s="391"/>
      <c r="G8" s="1084" t="s">
        <v>3933</v>
      </c>
      <c r="I8" s="1085"/>
    </row>
    <row r="9" spans="1:9" s="42" customFormat="1" ht="12.6" customHeight="1" thickBot="1">
      <c r="A9" s="100"/>
      <c r="B9" s="404" t="s">
        <v>1423</v>
      </c>
      <c r="C9" s="404"/>
      <c r="D9" s="405"/>
      <c r="E9" s="306"/>
      <c r="F9" s="712"/>
      <c r="G9" s="712"/>
    </row>
    <row r="10" spans="1:9" s="42" customFormat="1" ht="12" customHeight="1">
      <c r="A10" s="387">
        <v>1</v>
      </c>
      <c r="B10" s="406" t="s">
        <v>2138</v>
      </c>
      <c r="C10" s="241"/>
      <c r="D10" s="392"/>
      <c r="E10" s="392" t="s">
        <v>2309</v>
      </c>
      <c r="F10" s="392"/>
      <c r="G10" s="1084" t="s">
        <v>3933</v>
      </c>
    </row>
    <row r="11" spans="1:9" s="42" customFormat="1" ht="12" customHeight="1">
      <c r="A11" s="104"/>
      <c r="B11" s="392"/>
      <c r="C11" s="392"/>
      <c r="D11" s="392"/>
      <c r="E11" s="392" t="s">
        <v>2139</v>
      </c>
      <c r="F11" s="392"/>
      <c r="G11" s="1084" t="s">
        <v>3933</v>
      </c>
    </row>
    <row r="12" spans="1:9" s="42" customFormat="1" ht="12" customHeight="1">
      <c r="A12" s="104"/>
      <c r="B12" s="392"/>
      <c r="C12" s="418"/>
      <c r="D12" s="1086"/>
      <c r="E12" s="392" t="s">
        <v>805</v>
      </c>
      <c r="F12" s="391"/>
      <c r="G12" s="1084" t="s">
        <v>3933</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2254</v>
      </c>
    </row>
    <row r="15" spans="1:9" s="42" customFormat="1" ht="12" customHeight="1">
      <c r="A15" s="104"/>
      <c r="B15" s="392"/>
      <c r="C15" s="392"/>
      <c r="D15" s="392"/>
      <c r="E15" s="393" t="s">
        <v>806</v>
      </c>
      <c r="F15" s="392"/>
      <c r="G15" s="1084" t="s">
        <v>3933</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2254</v>
      </c>
    </row>
    <row r="22" spans="1:7" s="42" customFormat="1" ht="12" customHeight="1">
      <c r="A22" s="100"/>
      <c r="B22" s="394"/>
      <c r="C22" s="394"/>
      <c r="D22" s="394"/>
      <c r="E22" s="769" t="s">
        <v>150</v>
      </c>
      <c r="F22" s="770"/>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09"/>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2856</v>
      </c>
      <c r="F30" s="392"/>
      <c r="G30" s="1084" t="s">
        <v>2254</v>
      </c>
    </row>
    <row r="31" spans="1:7" s="42" customFormat="1" ht="12" customHeight="1">
      <c r="A31" s="104"/>
      <c r="B31" s="392"/>
      <c r="C31" s="392"/>
      <c r="D31" s="392"/>
      <c r="E31" s="1086" t="s">
        <v>2857</v>
      </c>
      <c r="F31" s="392"/>
      <c r="G31" s="1084" t="s">
        <v>2254</v>
      </c>
    </row>
    <row r="32" spans="1:7" s="42" customFormat="1" ht="12" customHeight="1">
      <c r="A32" s="104"/>
      <c r="B32" s="392"/>
      <c r="C32" s="392"/>
      <c r="D32" s="392"/>
      <c r="E32" s="1086" t="s">
        <v>2858</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2254</v>
      </c>
    </row>
    <row r="35" spans="1:7" s="42" customFormat="1" ht="12" customHeight="1">
      <c r="A35" s="100"/>
      <c r="B35" s="394"/>
      <c r="C35" s="394"/>
      <c r="D35" s="394"/>
      <c r="E35" s="396" t="s">
        <v>3576</v>
      </c>
      <c r="F35" s="395"/>
      <c r="G35" s="1084" t="s">
        <v>2254</v>
      </c>
    </row>
    <row r="36" spans="1:7" s="42" customFormat="1" ht="12" customHeight="1">
      <c r="A36" s="100"/>
      <c r="B36" s="394"/>
      <c r="C36" s="394"/>
      <c r="D36" s="394"/>
      <c r="E36" s="396" t="s">
        <v>184</v>
      </c>
      <c r="F36" s="395"/>
      <c r="G36" s="1084" t="s">
        <v>2254</v>
      </c>
    </row>
    <row r="37" spans="1:7" s="42" customFormat="1" ht="12" customHeight="1">
      <c r="A37" s="100"/>
      <c r="B37" s="394"/>
      <c r="C37" s="394"/>
      <c r="D37" s="394"/>
      <c r="E37" s="396" t="s">
        <v>3577</v>
      </c>
      <c r="F37" s="395"/>
      <c r="G37" s="1084" t="s">
        <v>2254</v>
      </c>
    </row>
    <row r="38" spans="1:7" s="42" customFormat="1" ht="12" customHeight="1">
      <c r="A38" s="104"/>
      <c r="B38" s="241"/>
      <c r="C38" s="392"/>
      <c r="D38" s="392"/>
      <c r="E38" s="396" t="s">
        <v>3500</v>
      </c>
      <c r="F38" s="392"/>
      <c r="G38" s="1084" t="s">
        <v>2254</v>
      </c>
    </row>
    <row r="39" spans="1:7" s="42" customFormat="1" ht="12" customHeight="1">
      <c r="A39" s="104"/>
      <c r="B39" s="241"/>
      <c r="C39" s="392"/>
      <c r="D39" s="392"/>
      <c r="E39" s="396" t="s">
        <v>3910</v>
      </c>
      <c r="F39" s="392"/>
      <c r="G39" s="1084" t="s">
        <v>2254</v>
      </c>
    </row>
    <row r="40" spans="1:7" s="42" customFormat="1" ht="12" customHeight="1">
      <c r="A40" s="100"/>
      <c r="B40" s="394"/>
      <c r="C40" s="394"/>
      <c r="D40" s="394"/>
      <c r="E40" s="396" t="s">
        <v>1906</v>
      </c>
      <c r="F40" s="395"/>
      <c r="G40" s="1084" t="s">
        <v>2254</v>
      </c>
    </row>
    <row r="41" spans="1:7" s="42" customFormat="1" ht="12" customHeight="1">
      <c r="A41" s="100"/>
      <c r="B41" s="394"/>
      <c r="C41" s="394"/>
      <c r="D41" s="394"/>
      <c r="E41" s="396" t="s">
        <v>1905</v>
      </c>
      <c r="F41" s="395"/>
      <c r="G41" s="1084" t="s">
        <v>2254</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3933</v>
      </c>
    </row>
    <row r="44" spans="1:7" s="42" customFormat="1" ht="12" customHeight="1">
      <c r="A44" s="104"/>
      <c r="B44" s="241"/>
      <c r="C44" s="709"/>
      <c r="D44" s="392"/>
      <c r="E44" s="396" t="s">
        <v>3421</v>
      </c>
      <c r="F44" s="392"/>
      <c r="G44" s="1084" t="s">
        <v>3933</v>
      </c>
    </row>
    <row r="45" spans="1:7" s="42" customFormat="1" ht="12" customHeight="1">
      <c r="A45" s="104"/>
      <c r="B45" s="241"/>
      <c r="C45" s="709"/>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71" t="s">
        <v>3859</v>
      </c>
      <c r="F47" s="772"/>
      <c r="G47" s="1084" t="s">
        <v>3933</v>
      </c>
    </row>
    <row r="48" spans="1:7" s="42" customFormat="1" ht="12" customHeight="1">
      <c r="A48" s="104"/>
      <c r="B48" s="241"/>
      <c r="C48" s="392"/>
      <c r="D48" s="392"/>
      <c r="E48" s="392" t="s">
        <v>3484</v>
      </c>
      <c r="F48" s="396"/>
      <c r="G48" s="1084" t="s">
        <v>3933</v>
      </c>
    </row>
    <row r="49" spans="1:7" s="42" customFormat="1" ht="12" customHeight="1">
      <c r="A49" s="104"/>
      <c r="B49" s="241"/>
      <c r="C49" s="392"/>
      <c r="D49" s="392"/>
      <c r="E49" s="396" t="s">
        <v>3424</v>
      </c>
      <c r="F49" s="396"/>
      <c r="G49" s="1084" t="s">
        <v>3933</v>
      </c>
    </row>
    <row r="50" spans="1:7" s="42" customFormat="1" ht="12" customHeight="1">
      <c r="A50" s="107"/>
      <c r="B50" s="241"/>
      <c r="C50" s="392"/>
      <c r="D50" s="392"/>
      <c r="E50" s="752" t="s">
        <v>467</v>
      </c>
      <c r="F50" s="753"/>
      <c r="G50" s="1084" t="s">
        <v>2254</v>
      </c>
    </row>
    <row r="51" spans="1:7" s="42" customFormat="1" ht="12" customHeight="1">
      <c r="A51" s="387">
        <v>4</v>
      </c>
      <c r="B51" s="1087" t="s">
        <v>1023</v>
      </c>
      <c r="C51" s="392"/>
      <c r="D51" s="392"/>
      <c r="E51" s="1086" t="s">
        <v>1412</v>
      </c>
      <c r="F51" s="392"/>
      <c r="G51" s="1084" t="s">
        <v>3933</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3933</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2254</v>
      </c>
    </row>
    <row r="65" spans="1:7" s="42" customFormat="1" ht="12" customHeight="1">
      <c r="A65" s="104"/>
      <c r="B65" s="392"/>
      <c r="C65" s="392"/>
      <c r="D65" s="392"/>
      <c r="E65" s="1086" t="s">
        <v>1846</v>
      </c>
      <c r="F65" s="392"/>
      <c r="G65" s="1084" t="s">
        <v>3933</v>
      </c>
    </row>
    <row r="66" spans="1:7" s="42" customFormat="1" ht="12" customHeight="1">
      <c r="A66" s="104"/>
      <c r="B66" s="392"/>
      <c r="C66" s="418"/>
      <c r="D66" s="392"/>
      <c r="E66" s="766" t="s">
        <v>1847</v>
      </c>
      <c r="F66" s="767"/>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3933</v>
      </c>
    </row>
    <row r="82" spans="1:7" s="42" customFormat="1" ht="6" customHeight="1">
      <c r="A82" s="104"/>
      <c r="B82" s="241"/>
      <c r="C82" s="709"/>
      <c r="D82" s="392"/>
      <c r="E82" s="398"/>
      <c r="F82" s="398"/>
      <c r="G82" s="147"/>
    </row>
    <row r="83" spans="1:7" s="42" customFormat="1" ht="12" customHeight="1">
      <c r="A83" s="387">
        <v>8</v>
      </c>
      <c r="B83" s="408" t="s">
        <v>3426</v>
      </c>
      <c r="C83" s="241"/>
      <c r="D83" s="392"/>
      <c r="E83" s="398" t="s">
        <v>1903</v>
      </c>
      <c r="F83" s="398"/>
      <c r="G83" s="1084" t="s">
        <v>3933</v>
      </c>
    </row>
    <row r="84" spans="1:7" s="42" customFormat="1" ht="12" customHeight="1">
      <c r="A84" s="104"/>
      <c r="B84" s="241"/>
      <c r="C84" s="709"/>
      <c r="D84" s="392"/>
      <c r="E84" s="398" t="s">
        <v>3796</v>
      </c>
      <c r="F84" s="398"/>
      <c r="G84" s="1084" t="s">
        <v>2254</v>
      </c>
    </row>
    <row r="85" spans="1:7" s="42" customFormat="1" ht="6" customHeight="1">
      <c r="A85" s="104"/>
      <c r="B85" s="709"/>
      <c r="C85" s="392"/>
      <c r="D85" s="392"/>
      <c r="E85" s="1086"/>
      <c r="F85" s="398"/>
      <c r="G85" s="314"/>
    </row>
    <row r="86" spans="1:7" s="42" customFormat="1" ht="12" customHeight="1">
      <c r="A86" s="387">
        <v>9</v>
      </c>
      <c r="B86" s="406" t="s">
        <v>3703</v>
      </c>
      <c r="C86" s="241"/>
      <c r="D86" s="392"/>
      <c r="E86" s="1086" t="s">
        <v>3881</v>
      </c>
      <c r="F86" s="398"/>
      <c r="G86" s="1084" t="s">
        <v>3933</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3886</v>
      </c>
      <c r="F90" s="1088"/>
      <c r="G90" s="1084" t="s">
        <v>3933</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3933</v>
      </c>
    </row>
    <row r="93" spans="1:7" s="42" customFormat="1" ht="12" customHeight="1">
      <c r="A93" s="104"/>
      <c r="B93" s="396"/>
      <c r="C93" s="241"/>
      <c r="D93" s="396"/>
      <c r="E93" s="396" t="s">
        <v>725</v>
      </c>
      <c r="F93" s="402"/>
      <c r="G93" s="1084" t="s">
        <v>3933</v>
      </c>
    </row>
    <row r="94" spans="1:7" s="42" customFormat="1" ht="12" customHeight="1">
      <c r="A94" s="104"/>
      <c r="B94" s="392"/>
      <c r="C94" s="241"/>
      <c r="D94" s="392"/>
      <c r="E94" s="396" t="s">
        <v>3882</v>
      </c>
      <c r="F94" s="398"/>
      <c r="G94" s="1084" t="s">
        <v>3933</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3933</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3933</v>
      </c>
    </row>
    <row r="102" spans="1:7" s="42" customFormat="1" ht="12" customHeight="1">
      <c r="A102" s="104"/>
      <c r="B102" s="391"/>
      <c r="C102" s="241"/>
      <c r="D102" s="396"/>
      <c r="E102" s="752" t="s">
        <v>909</v>
      </c>
      <c r="F102" s="753"/>
      <c r="G102" s="1084" t="s">
        <v>3933</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3933</v>
      </c>
    </row>
    <row r="107" spans="1:7" s="42" customFormat="1" ht="12" customHeight="1">
      <c r="A107" s="104"/>
      <c r="B107" s="391"/>
      <c r="C107" s="241"/>
      <c r="D107" s="392"/>
      <c r="E107" s="392" t="s">
        <v>1652</v>
      </c>
      <c r="F107" s="392"/>
      <c r="G107" s="1084" t="s">
        <v>3933</v>
      </c>
    </row>
    <row r="108" spans="1:7" s="42" customFormat="1" ht="12" customHeight="1">
      <c r="A108" s="104"/>
      <c r="B108" s="392"/>
      <c r="C108" s="241"/>
      <c r="D108" s="392"/>
      <c r="E108" s="396" t="s">
        <v>1653</v>
      </c>
      <c r="F108" s="402"/>
      <c r="G108" s="1084" t="s">
        <v>3933</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1910</v>
      </c>
      <c r="F112" s="396"/>
      <c r="G112" s="1084" t="s">
        <v>3933</v>
      </c>
    </row>
    <row r="113" spans="1:7" s="42" customFormat="1" ht="12" customHeight="1">
      <c r="A113" s="104"/>
      <c r="B113" s="750"/>
      <c r="C113" s="751"/>
      <c r="D113" s="751"/>
      <c r="E113" s="396" t="s">
        <v>1911</v>
      </c>
      <c r="F113" s="396"/>
      <c r="G113" s="1084" t="s">
        <v>3933</v>
      </c>
    </row>
    <row r="114" spans="1:7" s="42" customFormat="1" ht="12" customHeight="1">
      <c r="A114" s="104"/>
      <c r="B114" s="750"/>
      <c r="C114" s="751"/>
      <c r="D114" s="751"/>
      <c r="E114" s="396" t="s">
        <v>1914</v>
      </c>
      <c r="F114" s="396"/>
      <c r="G114" s="1084" t="s">
        <v>2254</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3933</v>
      </c>
    </row>
    <row r="120" spans="1:7" s="42" customFormat="1" ht="12" customHeight="1">
      <c r="A120" s="387"/>
      <c r="B120" s="602" t="s">
        <v>3396</v>
      </c>
      <c r="C120" s="406"/>
      <c r="D120" s="392"/>
      <c r="E120" s="393" t="s">
        <v>2528</v>
      </c>
      <c r="F120" s="392"/>
      <c r="G120" s="1084" t="s">
        <v>3933</v>
      </c>
    </row>
    <row r="121" spans="1:7" s="42" customFormat="1" ht="12" customHeight="1">
      <c r="A121" s="104"/>
      <c r="B121" s="241"/>
      <c r="C121" s="392"/>
      <c r="D121" s="392"/>
      <c r="E121" s="392" t="s">
        <v>3305</v>
      </c>
      <c r="F121" s="392"/>
      <c r="G121" s="1084" t="s">
        <v>3933</v>
      </c>
    </row>
    <row r="122" spans="1:7" s="42" customFormat="1" ht="12" customHeight="1">
      <c r="A122" s="104"/>
      <c r="B122" s="392"/>
      <c r="C122" s="392"/>
      <c r="D122" s="392"/>
      <c r="E122" s="392" t="s">
        <v>3883</v>
      </c>
      <c r="F122" s="392"/>
      <c r="G122" s="1084" t="s">
        <v>3933</v>
      </c>
    </row>
    <row r="123" spans="1:7" s="42" customFormat="1" ht="6" customHeight="1">
      <c r="A123" s="100"/>
      <c r="B123" s="394"/>
      <c r="C123" s="394"/>
      <c r="D123" s="394"/>
      <c r="E123" s="394"/>
      <c r="F123" s="395"/>
      <c r="G123" s="311"/>
    </row>
    <row r="124" spans="1:7" s="42" customFormat="1" ht="12.6" customHeight="1">
      <c r="A124" s="387">
        <v>19</v>
      </c>
      <c r="B124" s="414" t="s">
        <v>2867</v>
      </c>
      <c r="C124" s="1086"/>
      <c r="D124" s="1086"/>
      <c r="E124" s="396" t="s">
        <v>3520</v>
      </c>
      <c r="F124" s="396"/>
      <c r="G124" s="1084" t="s">
        <v>3933</v>
      </c>
    </row>
    <row r="125" spans="1:7" s="42" customFormat="1" ht="12" customHeight="1">
      <c r="A125" s="104"/>
      <c r="B125" s="396"/>
      <c r="C125" s="391"/>
      <c r="D125" s="396"/>
      <c r="E125" s="396" t="s">
        <v>891</v>
      </c>
      <c r="F125" s="396"/>
      <c r="G125" s="1084" t="s">
        <v>3933</v>
      </c>
    </row>
    <row r="126" spans="1:7" s="42" customFormat="1" ht="12" customHeight="1">
      <c r="A126" s="104"/>
      <c r="B126" s="396"/>
      <c r="C126" s="391"/>
      <c r="D126" s="396"/>
      <c r="E126" s="396" t="s">
        <v>3521</v>
      </c>
      <c r="F126" s="396"/>
      <c r="G126" s="1084" t="s">
        <v>3933</v>
      </c>
    </row>
    <row r="127" spans="1:7" s="42" customFormat="1" ht="12" customHeight="1">
      <c r="A127" s="104"/>
      <c r="B127" s="396"/>
      <c r="C127" s="415"/>
      <c r="D127" s="396"/>
      <c r="E127" s="396" t="s">
        <v>3522</v>
      </c>
      <c r="F127" s="396"/>
      <c r="G127" s="1084" t="s">
        <v>2254</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3933</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2" t="s">
        <v>3545</v>
      </c>
      <c r="F131" s="753"/>
      <c r="G131" s="1084" t="s">
        <v>3933</v>
      </c>
    </row>
    <row r="132" spans="1:7" s="42" customFormat="1" ht="12.6" customHeight="1">
      <c r="A132" s="387">
        <v>20</v>
      </c>
      <c r="B132" s="414" t="s">
        <v>824</v>
      </c>
      <c r="C132" s="1086"/>
      <c r="D132" s="1086"/>
      <c r="E132" s="396" t="s">
        <v>468</v>
      </c>
      <c r="F132" s="396"/>
      <c r="G132" s="1084" t="s">
        <v>3933</v>
      </c>
    </row>
    <row r="133" spans="1:7" s="42" customFormat="1" ht="12" customHeight="1">
      <c r="A133" s="104"/>
      <c r="B133" s="396"/>
      <c r="C133" s="391"/>
      <c r="D133" s="396"/>
      <c r="E133" s="396" t="s">
        <v>3664</v>
      </c>
      <c r="F133" s="396"/>
      <c r="G133" s="1084" t="s">
        <v>3933</v>
      </c>
    </row>
    <row r="134" spans="1:7" s="42" customFormat="1" ht="12" customHeight="1">
      <c r="A134" s="104"/>
      <c r="B134" s="396"/>
      <c r="C134" s="415"/>
      <c r="D134" s="396"/>
      <c r="E134" s="396" t="s">
        <v>723</v>
      </c>
      <c r="F134" s="396"/>
      <c r="G134" s="1084" t="s">
        <v>3933</v>
      </c>
    </row>
    <row r="135" spans="1:7" s="42" customFormat="1" ht="12" customHeight="1">
      <c r="A135" s="104"/>
      <c r="B135" s="396"/>
      <c r="C135" s="396"/>
      <c r="D135" s="416"/>
      <c r="E135" s="396" t="s">
        <v>724</v>
      </c>
      <c r="F135" s="396"/>
      <c r="G135" s="1084" t="s">
        <v>3933</v>
      </c>
    </row>
    <row r="136" spans="1:7" s="42" customFormat="1" ht="12" customHeight="1">
      <c r="A136" s="104"/>
      <c r="B136" s="396"/>
      <c r="C136" s="396"/>
      <c r="D136" s="416"/>
      <c r="E136" s="396" t="s">
        <v>990</v>
      </c>
      <c r="F136" s="396"/>
      <c r="G136" s="1084" t="s">
        <v>3933</v>
      </c>
    </row>
    <row r="137" spans="1:7" s="1090" customFormat="1" ht="12" customHeight="1">
      <c r="A137" s="104"/>
      <c r="B137" s="396"/>
      <c r="C137" s="396"/>
      <c r="D137" s="416"/>
      <c r="E137" s="396" t="s">
        <v>2293</v>
      </c>
      <c r="F137" s="396"/>
      <c r="G137" s="1084" t="s">
        <v>3933</v>
      </c>
    </row>
    <row r="138" spans="1:7" s="42" customFormat="1" ht="12" customHeight="1">
      <c r="A138" s="104"/>
      <c r="B138" s="396"/>
      <c r="C138" s="396"/>
      <c r="D138" s="396"/>
      <c r="E138" s="709" t="s">
        <v>3574</v>
      </c>
      <c r="F138" s="402"/>
      <c r="G138" s="1084" t="s">
        <v>3933</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2838</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09"/>
      <c r="C154" s="415"/>
      <c r="D154" s="396"/>
      <c r="E154" s="397" t="s">
        <v>2859</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3933</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3933</v>
      </c>
    </row>
    <row r="163" spans="1:7" s="42" customFormat="1" ht="12" customHeight="1">
      <c r="A163" s="104"/>
      <c r="B163" s="241"/>
      <c r="C163" s="709"/>
      <c r="D163" s="1086"/>
      <c r="E163" s="773" t="s">
        <v>867</v>
      </c>
      <c r="F163" s="753"/>
      <c r="G163" s="1084" t="s">
        <v>3933</v>
      </c>
    </row>
    <row r="164" spans="1:7" s="42" customFormat="1" ht="12" customHeight="1">
      <c r="A164" s="104"/>
      <c r="B164" s="401"/>
      <c r="C164" s="1086"/>
      <c r="D164" s="1086"/>
      <c r="E164" s="398" t="s">
        <v>37</v>
      </c>
      <c r="F164" s="392"/>
      <c r="G164" s="1084" t="s">
        <v>3933</v>
      </c>
    </row>
    <row r="165" spans="1:7" s="42" customFormat="1" ht="24.6" customHeight="1">
      <c r="A165" s="104"/>
      <c r="B165" s="401"/>
      <c r="C165" s="1086"/>
      <c r="D165" s="1086"/>
      <c r="E165" s="773" t="s">
        <v>688</v>
      </c>
      <c r="F165" s="753"/>
      <c r="G165" s="1084" t="s">
        <v>2254</v>
      </c>
    </row>
    <row r="166" spans="1:7" s="42" customFormat="1" ht="12" customHeight="1">
      <c r="A166" s="104"/>
      <c r="B166" s="401"/>
      <c r="C166" s="1086"/>
      <c r="D166" s="1086"/>
      <c r="E166" s="773" t="s">
        <v>689</v>
      </c>
      <c r="F166" s="753"/>
      <c r="G166" s="1084" t="s">
        <v>2254</v>
      </c>
    </row>
    <row r="167" spans="1:7" s="42" customFormat="1" ht="5.45" customHeight="1">
      <c r="A167" s="104"/>
      <c r="B167" s="401"/>
      <c r="C167" s="1086"/>
      <c r="D167" s="1086"/>
      <c r="E167" s="710"/>
      <c r="F167" s="710"/>
      <c r="G167" s="1099"/>
    </row>
    <row r="168" spans="1:7" s="42" customFormat="1" ht="13.9" customHeight="1">
      <c r="A168" s="387">
        <v>25</v>
      </c>
      <c r="B168" s="1100" t="s">
        <v>628</v>
      </c>
      <c r="C168" s="241"/>
      <c r="D168" s="1087"/>
      <c r="E168" s="773" t="s">
        <v>2655</v>
      </c>
      <c r="F168" s="753"/>
      <c r="G168" s="1084" t="s">
        <v>2254</v>
      </c>
    </row>
    <row r="169" spans="1:7" s="42" customFormat="1" ht="13.9" customHeight="1">
      <c r="A169" s="389"/>
      <c r="B169" s="1100"/>
      <c r="C169" s="241"/>
      <c r="D169" s="1087"/>
      <c r="E169" s="773" t="s">
        <v>629</v>
      </c>
      <c r="F169" s="753"/>
      <c r="G169" s="1084" t="s">
        <v>2254</v>
      </c>
    </row>
    <row r="170" spans="1:7" s="42" customFormat="1" ht="12" customHeight="1">
      <c r="A170" s="387">
        <v>26</v>
      </c>
      <c r="B170" s="1087" t="s">
        <v>690</v>
      </c>
      <c r="C170" s="241"/>
      <c r="D170" s="1087"/>
      <c r="E170" s="710" t="s">
        <v>691</v>
      </c>
      <c r="F170" s="708"/>
      <c r="G170" s="1084" t="s">
        <v>2254</v>
      </c>
    </row>
    <row r="171" spans="1:7" s="42" customFormat="1" ht="12" customHeight="1">
      <c r="A171" s="104"/>
      <c r="B171" s="1087"/>
      <c r="C171" s="241"/>
      <c r="E171" s="710" t="s">
        <v>630</v>
      </c>
      <c r="F171" s="708"/>
      <c r="G171" s="1084" t="s">
        <v>2254</v>
      </c>
    </row>
    <row r="172" spans="1:7" s="42" customFormat="1" ht="12" customHeight="1">
      <c r="A172" s="104"/>
      <c r="B172" s="408"/>
      <c r="C172" s="241"/>
      <c r="D172" s="1087"/>
      <c r="E172" s="773" t="s">
        <v>631</v>
      </c>
      <c r="F172" s="753"/>
      <c r="G172" s="1084" t="s">
        <v>2254</v>
      </c>
    </row>
    <row r="173" spans="1:7" s="42" customFormat="1" ht="12" customHeight="1">
      <c r="A173" s="104"/>
      <c r="B173" s="408"/>
      <c r="C173" s="241"/>
      <c r="D173" s="1087"/>
      <c r="E173" s="773" t="s">
        <v>632</v>
      </c>
      <c r="F173" s="753"/>
      <c r="G173" s="1084" t="s">
        <v>2254</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692</v>
      </c>
      <c r="F175" s="708"/>
      <c r="G175" s="1084" t="s">
        <v>2254</v>
      </c>
    </row>
    <row r="176" spans="1:7" s="42" customFormat="1" ht="12" customHeight="1">
      <c r="A176" s="104"/>
      <c r="B176" s="1087"/>
      <c r="C176" s="241"/>
      <c r="D176" s="1087"/>
      <c r="E176" s="773" t="s">
        <v>177</v>
      </c>
      <c r="F176" s="753"/>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73" t="s">
        <v>178</v>
      </c>
      <c r="F181" s="1005"/>
      <c r="G181" s="1084" t="s">
        <v>2254</v>
      </c>
    </row>
    <row r="182" spans="1:7" s="42" customFormat="1" ht="12" customHeight="1">
      <c r="A182" s="387"/>
      <c r="B182" s="1101"/>
      <c r="C182" s="1087"/>
      <c r="D182" s="1087"/>
      <c r="E182" s="773" t="s">
        <v>179</v>
      </c>
      <c r="F182" s="1005"/>
      <c r="G182" s="1084" t="s">
        <v>2254</v>
      </c>
    </row>
    <row r="183" spans="1:7" s="42" customFormat="1" ht="25.15" customHeight="1">
      <c r="A183" s="104"/>
      <c r="B183" s="1087"/>
      <c r="C183" s="241"/>
      <c r="D183" s="1087"/>
      <c r="E183" s="773" t="s">
        <v>1620</v>
      </c>
      <c r="F183" s="753"/>
      <c r="G183" s="1084" t="s">
        <v>2254</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73" t="s">
        <v>633</v>
      </c>
      <c r="F185" s="753"/>
      <c r="G185" s="1084" t="s">
        <v>3933</v>
      </c>
    </row>
    <row r="186" spans="1:7" s="42" customFormat="1" ht="12" customHeight="1">
      <c r="A186" s="387"/>
      <c r="B186" s="1101"/>
      <c r="C186" s="241"/>
      <c r="D186" s="1087"/>
      <c r="E186" s="393" t="s">
        <v>1637</v>
      </c>
      <c r="F186" s="708"/>
      <c r="G186" s="1084" t="s">
        <v>3933</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3933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2254</v>
      </c>
    </row>
    <row r="197" spans="1:7" s="42" customFormat="1" ht="12" customHeight="1">
      <c r="A197" s="104"/>
      <c r="B197" s="241"/>
      <c r="C197" s="241"/>
      <c r="D197" s="1087"/>
      <c r="E197" s="1086" t="s">
        <v>3383</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3884</v>
      </c>
      <c r="F199" s="396"/>
      <c r="G199" s="1084" t="s">
        <v>2254</v>
      </c>
    </row>
    <row r="200" spans="1:7" s="42" customFormat="1" ht="12" customHeight="1">
      <c r="A200" s="104"/>
      <c r="B200" s="709"/>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09"/>
      <c r="C203" s="1087"/>
      <c r="D203" s="1087"/>
      <c r="E203" s="1086" t="s">
        <v>2734</v>
      </c>
      <c r="F203" s="396"/>
      <c r="G203" s="1084" t="s">
        <v>2254</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09"/>
      <c r="C209" s="1087"/>
      <c r="D209" s="1087"/>
      <c r="E209" s="1086" t="s">
        <v>174</v>
      </c>
      <c r="F209" s="396"/>
      <c r="G209" s="1084" t="s">
        <v>2254</v>
      </c>
    </row>
    <row r="210" spans="1:7" s="42" customFormat="1" ht="12" customHeight="1">
      <c r="A210" s="107"/>
      <c r="B210" s="709"/>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09"/>
      <c r="C212" s="1087"/>
      <c r="D212" s="1087"/>
      <c r="E212" s="1086"/>
      <c r="F212" s="396"/>
      <c r="G212" s="313"/>
    </row>
    <row r="213" spans="1:7" s="42" customFormat="1" ht="12" customHeight="1">
      <c r="A213" s="387">
        <v>33</v>
      </c>
      <c r="B213" s="1087" t="s">
        <v>2842</v>
      </c>
      <c r="C213" s="241"/>
      <c r="D213" s="1087"/>
      <c r="E213" s="773" t="s">
        <v>180</v>
      </c>
      <c r="F213" s="753"/>
      <c r="G213" s="1084" t="s">
        <v>2254</v>
      </c>
    </row>
    <row r="214" spans="1:7" s="42" customFormat="1" ht="12" customHeight="1">
      <c r="A214" s="387"/>
      <c r="B214" s="241"/>
      <c r="C214" s="241"/>
      <c r="D214" s="1087"/>
      <c r="E214" s="773" t="s">
        <v>181</v>
      </c>
      <c r="F214" s="753"/>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09"/>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09" t="s">
        <v>2671</v>
      </c>
      <c r="D220" s="1087"/>
      <c r="E220" s="1086" t="s">
        <v>183</v>
      </c>
      <c r="F220" s="396"/>
      <c r="G220" s="1084" t="s">
        <v>2254</v>
      </c>
    </row>
    <row r="221" spans="1:7" s="42" customFormat="1" ht="6" customHeight="1">
      <c r="A221" s="104"/>
      <c r="B221" s="709"/>
      <c r="C221" s="1087"/>
      <c r="D221" s="1087"/>
      <c r="E221" s="1086"/>
      <c r="F221" s="396"/>
      <c r="G221" s="313"/>
    </row>
    <row r="222" spans="1:7" s="42" customFormat="1" ht="12" customHeight="1">
      <c r="A222" s="387">
        <v>35</v>
      </c>
      <c r="B222" s="1087" t="s">
        <v>1907</v>
      </c>
      <c r="C222" s="241"/>
      <c r="D222" s="1087"/>
      <c r="E222" s="1086" t="s">
        <v>1908</v>
      </c>
      <c r="F222" s="396"/>
      <c r="G222" s="1084" t="s">
        <v>3933</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1909</v>
      </c>
      <c r="F224" s="396"/>
      <c r="G224" s="1084" t="s">
        <v>2254</v>
      </c>
    </row>
    <row r="225" spans="1:7" s="42" customFormat="1" ht="6" customHeight="1">
      <c r="A225" s="104"/>
      <c r="B225" s="709"/>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09"/>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09"/>
      <c r="E231" s="1111" t="s">
        <v>36</v>
      </c>
      <c r="F231" s="396"/>
      <c r="G231" s="1084" t="s">
        <v>2254</v>
      </c>
    </row>
    <row r="232" spans="1:7" s="42" customFormat="1" ht="6" customHeight="1">
      <c r="A232" s="104"/>
      <c r="B232" s="709"/>
      <c r="C232" s="1087"/>
      <c r="D232" s="1087"/>
      <c r="E232" s="1086"/>
      <c r="F232" s="396"/>
      <c r="G232" s="106"/>
    </row>
    <row r="233" spans="1:7" s="42" customFormat="1" ht="12" customHeight="1">
      <c r="A233" s="387">
        <v>38</v>
      </c>
      <c r="B233" s="1087" t="s">
        <v>3552</v>
      </c>
      <c r="C233" s="241"/>
      <c r="D233" s="1087"/>
      <c r="E233" s="1086" t="s">
        <v>3511</v>
      </c>
      <c r="F233" s="396"/>
      <c r="G233" s="1084" t="s">
        <v>3933</v>
      </c>
    </row>
    <row r="234" spans="1:7" s="42" customFormat="1" ht="12" customHeight="1">
      <c r="A234" s="104"/>
      <c r="B234" s="1086"/>
      <c r="C234" s="1087"/>
      <c r="D234" s="1087"/>
      <c r="E234" s="396" t="s">
        <v>3512</v>
      </c>
      <c r="F234" s="396"/>
      <c r="G234" s="1084" t="s">
        <v>3933</v>
      </c>
    </row>
    <row r="235" spans="1:7" s="42" customFormat="1" ht="6" customHeight="1">
      <c r="A235" s="104"/>
      <c r="B235" s="417"/>
      <c r="C235" s="1112"/>
      <c r="D235" s="1112"/>
      <c r="E235" s="1113"/>
      <c r="F235" s="106"/>
      <c r="G235" s="106"/>
    </row>
    <row r="236" spans="1:7" s="42" customFormat="1" ht="13.15" customHeight="1">
      <c r="A236" s="387">
        <v>39</v>
      </c>
      <c r="B236" s="1087" t="s">
        <v>2364</v>
      </c>
      <c r="E236" s="1114"/>
      <c r="F236" s="1114"/>
      <c r="G236" s="1084"/>
    </row>
    <row r="237" spans="1:7" s="42" customFormat="1" ht="12.6" customHeight="1">
      <c r="A237" s="104"/>
      <c r="C237" s="1115" t="s">
        <v>1027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C31" sqref="C31"/>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Heritage Vista Apartments</v>
      </c>
    </row>
    <row r="3" spans="1:6" ht="16.5">
      <c r="A3" s="1147" t="str">
        <f>CONCATENATE('Part I-Project Information'!F24,", ", 'Part I-Project Information'!J25," County")</f>
        <v>Milledgeville, Baldwin County</v>
      </c>
    </row>
    <row r="4" spans="1:6" ht="12" customHeight="1"/>
    <row r="5" spans="1:6" ht="111" customHeight="1">
      <c r="A5" s="1148" t="s">
        <v>4017</v>
      </c>
      <c r="B5" s="774" t="s">
        <v>1592</v>
      </c>
      <c r="C5" s="774"/>
      <c r="D5" s="774"/>
      <c r="E5" s="774"/>
      <c r="F5" s="774"/>
    </row>
    <row r="6" spans="1:6" ht="6.6" customHeight="1">
      <c r="A6" s="1149"/>
      <c r="B6" s="774"/>
      <c r="C6" s="774"/>
      <c r="D6" s="774"/>
      <c r="E6" s="774"/>
      <c r="F6" s="774"/>
    </row>
    <row r="7" spans="1:6" ht="111" customHeight="1">
      <c r="A7" s="1148" t="s">
        <v>4004</v>
      </c>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C31" sqref="C3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- 2011-020 Heritage Vista Apartments, Milledgeville, Baldwin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83" t="s">
        <v>2730</v>
      </c>
      <c r="N3" s="783"/>
      <c r="O3" s="783"/>
      <c r="P3" s="783"/>
    </row>
    <row r="4" spans="1:16" s="458" customFormat="1" ht="12" customHeight="1" thickBot="1">
      <c r="A4" s="735"/>
      <c r="B4" s="461"/>
      <c r="C4" s="461"/>
      <c r="D4" s="462"/>
      <c r="E4" s="401" t="s">
        <v>655</v>
      </c>
      <c r="H4" s="719"/>
      <c r="I4" s="719"/>
      <c r="J4" s="719"/>
      <c r="M4" s="719"/>
      <c r="O4" s="1523" t="s">
        <v>4044</v>
      </c>
      <c r="P4" s="1524"/>
    </row>
    <row r="5" spans="1:16" s="458" customFormat="1" ht="12" customHeight="1">
      <c r="A5" s="735"/>
      <c r="B5" s="461"/>
      <c r="C5" s="461"/>
      <c r="D5" s="461"/>
      <c r="E5" s="719"/>
      <c r="H5" s="719"/>
      <c r="I5" s="719"/>
      <c r="J5" s="719"/>
      <c r="K5" s="395"/>
      <c r="M5" s="719"/>
    </row>
    <row r="6" spans="1:16" s="458" customFormat="1" ht="13.15" customHeight="1">
      <c r="A6" s="461" t="s">
        <v>951</v>
      </c>
      <c r="C6" s="461" t="s">
        <v>3590</v>
      </c>
      <c r="D6" s="418"/>
      <c r="E6" s="463"/>
      <c r="F6" s="464" t="s">
        <v>2741</v>
      </c>
      <c r="J6" s="784">
        <f>'Part IV-Uses of Funds'!J165</f>
        <v>658036.71</v>
      </c>
      <c r="K6" s="785"/>
    </row>
    <row r="7" spans="1:16" s="2" customFormat="1" ht="13.15" customHeight="1">
      <c r="A7" s="5"/>
      <c r="C7" s="5"/>
      <c r="D7" s="31"/>
      <c r="E7" s="563"/>
      <c r="F7" s="458" t="s">
        <v>1983</v>
      </c>
      <c r="J7" s="793">
        <f>'Part III A-Sources of Funds'!J5</f>
        <v>1660000</v>
      </c>
      <c r="K7" s="794"/>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3919</v>
      </c>
      <c r="G9" s="1171"/>
      <c r="H9" s="1172"/>
      <c r="I9" s="1525" t="s">
        <v>1231</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2" t="s">
        <v>3920</v>
      </c>
      <c r="G13" s="1443"/>
      <c r="H13" s="1443"/>
      <c r="I13" s="1443"/>
      <c r="J13" s="1443"/>
      <c r="K13" s="1443"/>
      <c r="L13" s="1444"/>
      <c r="M13" s="714" t="s">
        <v>3057</v>
      </c>
      <c r="N13" s="1442" t="s">
        <v>4018</v>
      </c>
      <c r="O13" s="1443"/>
      <c r="P13" s="1444"/>
    </row>
    <row r="14" spans="1:16" s="458" customFormat="1" ht="13.15" customHeight="1">
      <c r="C14" s="464" t="s">
        <v>3058</v>
      </c>
      <c r="F14" s="1442" t="s">
        <v>3922</v>
      </c>
      <c r="G14" s="1443"/>
      <c r="H14" s="1443"/>
      <c r="I14" s="1443"/>
      <c r="J14" s="1443"/>
      <c r="K14" s="1443"/>
      <c r="L14" s="1444"/>
      <c r="M14" s="714" t="s">
        <v>2747</v>
      </c>
      <c r="O14" s="1526">
        <v>2567609657</v>
      </c>
      <c r="P14" s="1527"/>
    </row>
    <row r="15" spans="1:16" s="458" customFormat="1" ht="13.15" customHeight="1">
      <c r="C15" s="464" t="s">
        <v>954</v>
      </c>
      <c r="F15" s="1457" t="s">
        <v>3923</v>
      </c>
      <c r="G15" s="1393"/>
      <c r="H15" s="1394"/>
      <c r="M15" s="714" t="s">
        <v>2834</v>
      </c>
      <c r="O15" s="1473">
        <v>2567675804</v>
      </c>
      <c r="P15" s="1475"/>
    </row>
    <row r="16" spans="1:16" s="458" customFormat="1" ht="13.15" customHeight="1">
      <c r="C16" s="464" t="s">
        <v>2831</v>
      </c>
      <c r="F16" s="1528" t="s">
        <v>1429</v>
      </c>
      <c r="I16" s="719" t="s">
        <v>3354</v>
      </c>
      <c r="J16" s="1476">
        <v>356307371</v>
      </c>
      <c r="K16" s="1529"/>
      <c r="M16" s="714" t="s">
        <v>3056</v>
      </c>
      <c r="O16" s="1473">
        <v>2563354030</v>
      </c>
      <c r="P16" s="1475"/>
    </row>
    <row r="17" spans="1:16" s="458" customFormat="1" ht="13.15" customHeight="1">
      <c r="B17" s="721"/>
      <c r="C17" s="464" t="s">
        <v>2746</v>
      </c>
      <c r="F17" s="1473">
        <v>2567609657</v>
      </c>
      <c r="G17" s="1474"/>
      <c r="H17" s="1475"/>
      <c r="I17" s="713" t="s">
        <v>2745</v>
      </c>
      <c r="J17" s="1439"/>
      <c r="K17" s="719" t="s">
        <v>3061</v>
      </c>
      <c r="L17" s="1442" t="s">
        <v>3924</v>
      </c>
      <c r="M17" s="1443"/>
      <c r="N17" s="1443"/>
      <c r="O17" s="1443"/>
      <c r="P17" s="1444"/>
    </row>
    <row r="18" spans="1:16" s="458" customFormat="1" ht="13.15" customHeight="1">
      <c r="A18" s="461"/>
      <c r="B18" s="463"/>
      <c r="C18" s="441" t="s">
        <v>998</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2824</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0" t="s">
        <v>3925</v>
      </c>
      <c r="G22" s="1481"/>
      <c r="H22" s="1481"/>
      <c r="I22" s="1481"/>
      <c r="J22" s="1481"/>
      <c r="K22" s="1481"/>
      <c r="L22" s="1482"/>
      <c r="M22" s="714" t="s">
        <v>3300</v>
      </c>
      <c r="O22" s="1442" t="s">
        <v>3926</v>
      </c>
      <c r="P22" s="1444"/>
    </row>
    <row r="23" spans="1:16" s="458" customFormat="1" ht="13.15" customHeight="1">
      <c r="A23" s="471"/>
      <c r="B23" s="461"/>
      <c r="C23" s="458" t="s">
        <v>953</v>
      </c>
      <c r="D23" s="472"/>
      <c r="F23" s="1442" t="s">
        <v>3927</v>
      </c>
      <c r="G23" s="1443"/>
      <c r="H23" s="1443"/>
      <c r="I23" s="1443"/>
      <c r="J23" s="1443"/>
      <c r="K23" s="1443"/>
      <c r="L23" s="1444"/>
      <c r="M23" s="714" t="s">
        <v>3146</v>
      </c>
      <c r="O23" s="1442" t="s">
        <v>3926</v>
      </c>
      <c r="P23" s="1444"/>
    </row>
    <row r="24" spans="1:16" s="458" customFormat="1" ht="13.15" customHeight="1">
      <c r="A24" s="735"/>
      <c r="B24" s="461"/>
      <c r="C24" s="458" t="s">
        <v>954</v>
      </c>
      <c r="F24" s="1442" t="s">
        <v>822</v>
      </c>
      <c r="G24" s="1443"/>
      <c r="H24" s="1444"/>
      <c r="I24" s="719" t="s">
        <v>446</v>
      </c>
      <c r="J24" s="1476">
        <v>316019208</v>
      </c>
      <c r="K24" s="1529"/>
      <c r="L24" s="550" t="str">
        <f>IF(AND(NOT(F22=""),NOT(F24="Select from list"),J24=""),"Enter Zip!","")</f>
        <v/>
      </c>
      <c r="M24" s="714" t="s">
        <v>3416</v>
      </c>
      <c r="O24" s="1442">
        <v>14.97</v>
      </c>
      <c r="P24" s="1444"/>
    </row>
    <row r="25" spans="1:16" s="458" customFormat="1" ht="13.15" customHeight="1">
      <c r="A25" s="735"/>
      <c r="B25" s="461"/>
      <c r="C25" s="776" t="s">
        <v>3145</v>
      </c>
      <c r="D25" s="776"/>
      <c r="F25" s="1530" t="s">
        <v>3926</v>
      </c>
      <c r="I25" s="504" t="s">
        <v>955</v>
      </c>
      <c r="J25" s="1531" t="str">
        <f>IF($F$24="","",VLOOKUP($F$24,$N$183:$O$786,2,FALSE))</f>
        <v>Baldwin</v>
      </c>
      <c r="K25" s="1532"/>
      <c r="M25" s="474" t="s">
        <v>3435</v>
      </c>
      <c r="O25" s="1442">
        <v>9703</v>
      </c>
      <c r="P25" s="1533"/>
    </row>
    <row r="26" spans="1:16" s="458" customFormat="1" ht="13.15" customHeight="1">
      <c r="A26" s="735"/>
      <c r="B26" s="461"/>
      <c r="C26" s="458" t="s">
        <v>2314</v>
      </c>
      <c r="F26" s="1534" t="s">
        <v>3926</v>
      </c>
      <c r="G26" s="475"/>
      <c r="I26" s="466" t="s">
        <v>886</v>
      </c>
      <c r="J26" s="1535" t="str">
        <f>IF($F$24="","",VLOOKUP($J$25,$C$183:$H$342,3,FALSE))</f>
        <v>Baldwin Co.</v>
      </c>
      <c r="K26" s="1536"/>
      <c r="L26" s="1537"/>
      <c r="M26" s="714" t="s">
        <v>666</v>
      </c>
      <c r="N26" s="1538" t="s">
        <v>3926</v>
      </c>
      <c r="O26" s="466" t="s">
        <v>667</v>
      </c>
      <c r="P26" s="1538" t="s">
        <v>3926</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447</v>
      </c>
      <c r="G28" s="782"/>
      <c r="H28" s="782" t="s">
        <v>1226</v>
      </c>
      <c r="I28" s="782"/>
      <c r="J28" s="782" t="s">
        <v>1227</v>
      </c>
      <c r="K28" s="782"/>
      <c r="L28" s="468"/>
    </row>
    <row r="29" spans="1:16" s="458" customFormat="1" ht="13.15" customHeight="1">
      <c r="A29" s="735"/>
      <c r="B29" s="461"/>
      <c r="C29" s="458" t="s">
        <v>956</v>
      </c>
      <c r="D29" s="461"/>
      <c r="F29" s="1539">
        <v>12</v>
      </c>
      <c r="G29" s="1540"/>
      <c r="H29" s="1539">
        <v>25</v>
      </c>
      <c r="I29" s="1540"/>
      <c r="J29" s="1539">
        <v>141</v>
      </c>
      <c r="K29" s="1540"/>
    </row>
    <row r="30" spans="1:16" s="458" customFormat="1" ht="13.15" customHeight="1">
      <c r="A30" s="735"/>
      <c r="B30" s="461"/>
      <c r="C30" s="464" t="s">
        <v>1228</v>
      </c>
      <c r="F30" s="1539"/>
      <c r="G30" s="1540"/>
      <c r="H30" s="1539"/>
      <c r="I30" s="1540"/>
      <c r="J30" s="1539"/>
      <c r="K30" s="1540"/>
    </row>
    <row r="31" spans="1:16" s="458" customFormat="1" ht="3" customHeight="1">
      <c r="A31" s="735"/>
      <c r="B31" s="461"/>
      <c r="I31" s="733"/>
      <c r="J31" s="733"/>
      <c r="K31" s="733"/>
      <c r="M31" s="721"/>
      <c r="N31" s="721"/>
      <c r="O31" s="721"/>
      <c r="P31" s="721"/>
    </row>
    <row r="32" spans="1:16" s="458" customFormat="1" ht="13.15" customHeight="1">
      <c r="A32" s="735"/>
      <c r="B32" s="735"/>
      <c r="C32" s="461" t="s">
        <v>974</v>
      </c>
      <c r="F32" s="1541" t="s">
        <v>3928</v>
      </c>
      <c r="G32" s="1542"/>
      <c r="H32" s="1542"/>
      <c r="I32" s="1542"/>
      <c r="J32" s="1542"/>
      <c r="K32" s="1543"/>
      <c r="L32" s="476"/>
      <c r="M32" s="476"/>
      <c r="N32" s="476"/>
    </row>
    <row r="33" spans="1:19" s="458" customFormat="1" ht="13.15" customHeight="1">
      <c r="A33" s="735"/>
      <c r="B33" s="735"/>
      <c r="C33" s="458" t="s">
        <v>975</v>
      </c>
      <c r="F33" s="1544" t="s">
        <v>3929</v>
      </c>
      <c r="G33" s="1545"/>
      <c r="H33" s="1545"/>
      <c r="I33" s="1545"/>
      <c r="J33" s="1546"/>
      <c r="K33" s="477" t="s">
        <v>3057</v>
      </c>
      <c r="L33" s="1541" t="s">
        <v>3930</v>
      </c>
      <c r="M33" s="1542"/>
      <c r="N33" s="1543"/>
    </row>
    <row r="34" spans="1:19" s="458" customFormat="1" ht="13.15" customHeight="1">
      <c r="A34" s="735"/>
      <c r="B34" s="735"/>
      <c r="C34" s="458" t="s">
        <v>3058</v>
      </c>
      <c r="F34" s="1541" t="s">
        <v>3931</v>
      </c>
      <c r="G34" s="1542"/>
      <c r="H34" s="1542"/>
      <c r="I34" s="1542"/>
      <c r="J34" s="1543"/>
      <c r="K34" s="478" t="s">
        <v>954</v>
      </c>
      <c r="L34" s="1442" t="s">
        <v>822</v>
      </c>
      <c r="M34" s="1443"/>
      <c r="N34" s="1444"/>
    </row>
    <row r="35" spans="1:19" s="458" customFormat="1" ht="13.15" customHeight="1">
      <c r="A35" s="735"/>
      <c r="B35" s="735"/>
      <c r="C35" s="714" t="s">
        <v>3354</v>
      </c>
      <c r="F35" s="1547">
        <v>316011200</v>
      </c>
      <c r="G35" s="1548"/>
      <c r="H35" s="713" t="s">
        <v>3059</v>
      </c>
      <c r="I35" s="1479">
        <v>4784517105</v>
      </c>
      <c r="J35" s="1549"/>
      <c r="K35" s="1550"/>
      <c r="L35" s="713" t="s">
        <v>2834</v>
      </c>
      <c r="M35" s="1479"/>
      <c r="N35" s="1550"/>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2826</v>
      </c>
      <c r="C37" s="461" t="s">
        <v>2209</v>
      </c>
      <c r="F37" s="481"/>
      <c r="I37" s="464"/>
      <c r="J37" s="683" t="s">
        <v>1975</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3060</v>
      </c>
      <c r="C39" s="461" t="s">
        <v>3437</v>
      </c>
      <c r="F39" s="1439" t="s">
        <v>3926</v>
      </c>
      <c r="J39" s="605" t="s">
        <v>1972</v>
      </c>
      <c r="K39" s="721"/>
      <c r="L39" s="792" t="s">
        <v>1973</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3063</v>
      </c>
      <c r="C41" s="461" t="s">
        <v>1084</v>
      </c>
      <c r="J41" s="608" t="s">
        <v>1976</v>
      </c>
      <c r="K41" s="609"/>
      <c r="L41" s="795" t="s">
        <v>1971</v>
      </c>
      <c r="M41" s="795"/>
      <c r="N41" s="795"/>
      <c r="O41" s="795"/>
      <c r="P41" s="796"/>
      <c r="Q41" s="719"/>
    </row>
    <row r="42" spans="1:19" ht="13.15" customHeight="1">
      <c r="B42" s="735"/>
      <c r="C42" s="458" t="s">
        <v>3436</v>
      </c>
      <c r="D42" s="458"/>
      <c r="E42" s="458"/>
      <c r="F42" s="483">
        <f>'Part VI-Revenues &amp; Expenses'!$M$75</f>
        <v>64</v>
      </c>
      <c r="J42" s="398"/>
      <c r="L42" s="458"/>
      <c r="Q42" s="719"/>
    </row>
    <row r="43" spans="1:19" s="458" customFormat="1" ht="13.15" customHeight="1">
      <c r="A43" s="735"/>
      <c r="B43" s="735"/>
      <c r="C43" s="464" t="s">
        <v>469</v>
      </c>
      <c r="D43" s="721"/>
      <c r="F43" s="483">
        <f>'Part VI-Revenues &amp; Expenses'!$M$82</f>
        <v>0</v>
      </c>
      <c r="Q43" s="719"/>
    </row>
    <row r="44" spans="1:19" s="458" customFormat="1" ht="13.15" customHeight="1">
      <c r="A44" s="735"/>
      <c r="B44" s="735"/>
      <c r="C44" s="464" t="s">
        <v>443</v>
      </c>
      <c r="D44" s="721"/>
      <c r="F44" s="483">
        <f>'Part VI-Revenues &amp; Expenses'!$M$78</f>
        <v>0</v>
      </c>
      <c r="G44" s="458" t="s">
        <v>445</v>
      </c>
      <c r="L44" s="1551"/>
      <c r="M44" s="482"/>
      <c r="N44" s="482"/>
      <c r="O44" s="482"/>
      <c r="P44" s="482"/>
      <c r="Q44" s="719"/>
    </row>
    <row r="45" spans="1:19" s="458" customFormat="1" ht="13.15" customHeight="1">
      <c r="A45" s="735"/>
      <c r="B45" s="735"/>
      <c r="C45" s="484" t="s">
        <v>444</v>
      </c>
      <c r="F45" s="483">
        <f>'Part VI-Revenues &amp; Expenses'!$M$81</f>
        <v>0</v>
      </c>
      <c r="L45" s="482"/>
    </row>
    <row r="46" spans="1:19" s="458" customFormat="1" ht="13.15" customHeight="1">
      <c r="A46" s="735"/>
      <c r="B46" s="735"/>
      <c r="C46" s="484" t="s">
        <v>470</v>
      </c>
      <c r="F46" s="483">
        <f>'Part VI-Revenues &amp; Expenses'!$M$83</f>
        <v>0</v>
      </c>
      <c r="P46" s="721"/>
    </row>
    <row r="47" spans="1:19" s="458" customFormat="1" ht="3.6" customHeight="1">
      <c r="A47" s="735"/>
      <c r="P47" s="721"/>
    </row>
    <row r="48" spans="1:19" s="458" customFormat="1" ht="13.15" customHeight="1">
      <c r="A48" s="735"/>
      <c r="B48" s="471" t="s">
        <v>1239</v>
      </c>
      <c r="C48" s="470" t="s">
        <v>3408</v>
      </c>
      <c r="D48" s="721"/>
      <c r="I48" s="777" t="s">
        <v>2131</v>
      </c>
      <c r="J48" s="471" t="s">
        <v>3212</v>
      </c>
      <c r="K48" s="485" t="s">
        <v>3443</v>
      </c>
      <c r="M48" s="721"/>
      <c r="N48" s="721"/>
      <c r="O48" s="721"/>
      <c r="P48" s="719"/>
      <c r="Q48" s="719"/>
      <c r="R48" s="719"/>
      <c r="S48" s="721"/>
    </row>
    <row r="49" spans="1:16" s="458" customFormat="1" ht="13.15" customHeight="1">
      <c r="A49" s="735"/>
      <c r="B49" s="716"/>
      <c r="C49" s="468" t="s">
        <v>3409</v>
      </c>
      <c r="D49" s="721"/>
      <c r="E49" s="721"/>
      <c r="H49" s="486">
        <f>SUM(H50:H51)</f>
        <v>63</v>
      </c>
      <c r="I49" s="778"/>
      <c r="J49" s="735"/>
      <c r="K49" s="468" t="s">
        <v>3444</v>
      </c>
      <c r="M49" s="721"/>
      <c r="N49" s="721"/>
      <c r="O49" s="721"/>
      <c r="P49" s="486">
        <f>'Part VI-Revenues &amp; Expenses'!$M$94</f>
        <v>67296</v>
      </c>
    </row>
    <row r="50" spans="1:16" s="458" customFormat="1" ht="13.15" customHeight="1">
      <c r="A50" s="735"/>
      <c r="B50" s="482"/>
      <c r="D50" s="487" t="s">
        <v>490</v>
      </c>
      <c r="E50" s="487"/>
      <c r="H50" s="486">
        <f>'Part VI-Revenues &amp; Expenses'!$M$58</f>
        <v>13</v>
      </c>
      <c r="I50" s="486">
        <f>'Part VI-Revenues &amp; Expenses'!$M$66</f>
        <v>0</v>
      </c>
      <c r="K50" s="468" t="s">
        <v>326</v>
      </c>
      <c r="M50" s="721"/>
      <c r="N50" s="721"/>
      <c r="O50" s="721"/>
      <c r="P50" s="486">
        <f>'Part VI-Revenues &amp; Expenses'!$M$95</f>
        <v>0</v>
      </c>
    </row>
    <row r="51" spans="1:16" s="458" customFormat="1" ht="13.15" customHeight="1">
      <c r="A51" s="735"/>
      <c r="D51" s="487" t="s">
        <v>2864</v>
      </c>
      <c r="E51" s="487"/>
      <c r="H51" s="486">
        <f>'Part VI-Revenues &amp; Expenses'!$M$57</f>
        <v>50</v>
      </c>
      <c r="I51" s="486">
        <f>'Part VI-Revenues &amp; Expenses'!$M$65</f>
        <v>0</v>
      </c>
      <c r="K51" s="468" t="s">
        <v>3445</v>
      </c>
      <c r="M51" s="721"/>
      <c r="N51" s="721"/>
      <c r="O51" s="721"/>
      <c r="P51" s="486">
        <f>+P49+P50</f>
        <v>67296</v>
      </c>
    </row>
    <row r="52" spans="1:16" s="458" customFormat="1" ht="13.15" customHeight="1">
      <c r="A52" s="735"/>
      <c r="C52" s="468" t="s">
        <v>327</v>
      </c>
      <c r="D52" s="721"/>
      <c r="E52" s="721"/>
      <c r="H52" s="486">
        <f>'Part VI-Revenues &amp; Expenses'!$M$60</f>
        <v>0</v>
      </c>
      <c r="J52" s="735"/>
      <c r="K52" s="468" t="s">
        <v>2134</v>
      </c>
      <c r="M52" s="721"/>
      <c r="N52" s="721"/>
      <c r="O52" s="721"/>
      <c r="P52" s="486">
        <f>'Part VI-Revenues &amp; Expenses'!$M$97</f>
        <v>1056</v>
      </c>
    </row>
    <row r="53" spans="1:16" s="458" customFormat="1" ht="13.15" customHeight="1">
      <c r="A53" s="735"/>
      <c r="C53" s="468" t="s">
        <v>3650</v>
      </c>
      <c r="D53" s="721"/>
      <c r="E53" s="721"/>
      <c r="H53" s="486">
        <f>+H49+H52</f>
        <v>63</v>
      </c>
      <c r="J53" s="735"/>
      <c r="K53" s="468" t="s">
        <v>2133</v>
      </c>
      <c r="M53" s="721"/>
      <c r="N53" s="721"/>
      <c r="O53" s="721"/>
      <c r="P53" s="486">
        <f>+P51+P52</f>
        <v>68352</v>
      </c>
    </row>
    <row r="54" spans="1:16" s="458" customFormat="1" ht="13.15" customHeight="1">
      <c r="A54" s="735"/>
      <c r="C54" s="468" t="s">
        <v>3651</v>
      </c>
      <c r="D54" s="721"/>
      <c r="E54" s="721"/>
      <c r="H54" s="486">
        <f>'Part VI-Revenues &amp; Expenses'!$M$62</f>
        <v>1</v>
      </c>
      <c r="J54" s="735"/>
    </row>
    <row r="55" spans="1:16" s="458" customFormat="1" ht="13.15" customHeight="1">
      <c r="A55" s="735"/>
      <c r="C55" s="468" t="s">
        <v>2825</v>
      </c>
      <c r="D55" s="721"/>
      <c r="E55" s="721"/>
      <c r="H55" s="486">
        <f>+H53+H54</f>
        <v>64</v>
      </c>
      <c r="J55" s="721"/>
    </row>
    <row r="56" spans="1:16" s="458" customFormat="1" ht="3" customHeight="1">
      <c r="A56" s="735"/>
      <c r="I56" s="719"/>
      <c r="L56" s="719"/>
      <c r="M56" s="719"/>
      <c r="N56" s="721"/>
      <c r="P56" s="469"/>
    </row>
    <row r="57" spans="1:16" s="458" customFormat="1" ht="13.15" customHeight="1">
      <c r="A57" s="735"/>
      <c r="B57" s="735" t="s">
        <v>2763</v>
      </c>
      <c r="C57" s="470" t="s">
        <v>3438</v>
      </c>
      <c r="D57" s="487" t="s">
        <v>3074</v>
      </c>
      <c r="G57" s="721"/>
      <c r="H57" s="1552">
        <v>8</v>
      </c>
      <c r="K57" s="468" t="s">
        <v>1760</v>
      </c>
      <c r="O57" s="721"/>
      <c r="P57" s="1552">
        <v>1457</v>
      </c>
    </row>
    <row r="58" spans="1:16" s="458" customFormat="1" ht="13.15" customHeight="1">
      <c r="A58" s="735"/>
      <c r="B58" s="735"/>
      <c r="D58" s="716" t="s">
        <v>3075</v>
      </c>
      <c r="H58" s="1552">
        <v>1</v>
      </c>
      <c r="I58" s="721"/>
      <c r="K58" s="468" t="s">
        <v>325</v>
      </c>
      <c r="O58" s="721"/>
      <c r="P58" s="486">
        <f>+P53+P57</f>
        <v>69809</v>
      </c>
    </row>
    <row r="59" spans="1:16" s="458" customFormat="1" ht="13.15" customHeight="1">
      <c r="A59" s="735"/>
      <c r="B59" s="735"/>
      <c r="D59" s="716" t="s">
        <v>3076</v>
      </c>
      <c r="H59" s="486">
        <f>+H57+H58</f>
        <v>9</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2764</v>
      </c>
      <c r="C61" s="470" t="s">
        <v>1085</v>
      </c>
      <c r="D61" s="721"/>
      <c r="E61" s="721"/>
      <c r="F61" s="721"/>
      <c r="G61" s="721"/>
      <c r="H61" s="1552">
        <v>128</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823</v>
      </c>
      <c r="C63" s="488" t="s">
        <v>1837</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3060</v>
      </c>
      <c r="C65" s="395" t="s">
        <v>2273</v>
      </c>
      <c r="D65" s="715"/>
      <c r="E65" s="715"/>
      <c r="F65" s="721"/>
      <c r="G65" s="719"/>
      <c r="H65" s="1553" t="s">
        <v>3932</v>
      </c>
      <c r="I65" s="1554"/>
      <c r="K65" s="776" t="s">
        <v>2802</v>
      </c>
      <c r="L65" s="776"/>
      <c r="N65" s="1442"/>
      <c r="O65" s="1443"/>
      <c r="P65" s="1444"/>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3063</v>
      </c>
      <c r="C67" s="470" t="s">
        <v>2122</v>
      </c>
      <c r="D67" s="721"/>
      <c r="E67" s="487"/>
      <c r="G67" s="489" t="s">
        <v>1379</v>
      </c>
      <c r="H67" s="1552">
        <v>4</v>
      </c>
      <c r="K67" s="776" t="s">
        <v>813</v>
      </c>
      <c r="L67" s="776"/>
      <c r="P67" s="490">
        <f>IF('Part VI-Revenues &amp; Expenses'!$M$63=0,0,$H67/'Part VI-Revenues &amp; Expenses'!$M$63)</f>
        <v>6.25E-2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1239</v>
      </c>
      <c r="C69" s="470" t="s">
        <v>2891</v>
      </c>
      <c r="D69" s="487"/>
      <c r="E69" s="487"/>
      <c r="G69" s="489" t="s">
        <v>1379</v>
      </c>
      <c r="H69" s="1552">
        <v>2</v>
      </c>
      <c r="K69" s="776" t="s">
        <v>813</v>
      </c>
      <c r="L69" s="776"/>
      <c r="P69" s="490">
        <f>IF('Part VI-Revenues &amp; Expenses'!$M$63=0,0,$H69/'Part VI-Revenues &amp; Expenses'!$M$63)</f>
        <v>3.125E-2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3212</v>
      </c>
      <c r="C71" s="470" t="s">
        <v>1978</v>
      </c>
      <c r="D71" s="487"/>
      <c r="E71" s="487"/>
      <c r="G71" s="489" t="s">
        <v>1979</v>
      </c>
      <c r="H71" s="1552"/>
      <c r="K71" s="776" t="s">
        <v>813</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1348</v>
      </c>
      <c r="B73" s="735"/>
      <c r="C73" s="715" t="s">
        <v>3592</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3060</v>
      </c>
      <c r="C75" s="395" t="s">
        <v>3591</v>
      </c>
      <c r="D75" s="716"/>
      <c r="E75" s="716"/>
      <c r="F75" s="716"/>
      <c r="H75" s="1555" t="s">
        <v>1461</v>
      </c>
      <c r="I75" s="1556"/>
      <c r="J75" s="1557"/>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3063</v>
      </c>
      <c r="C77" s="461" t="s">
        <v>2286</v>
      </c>
      <c r="K77" s="464" t="s">
        <v>1460</v>
      </c>
      <c r="N77" s="492"/>
      <c r="P77" s="1439" t="s">
        <v>3933</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386</v>
      </c>
      <c r="B79" s="735"/>
      <c r="C79" s="715" t="s">
        <v>3133</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9" t="s">
        <v>3926</v>
      </c>
      <c r="F81" s="487" t="s">
        <v>3914</v>
      </c>
      <c r="H81" s="1439" t="s">
        <v>3933</v>
      </c>
      <c r="I81" s="714" t="s">
        <v>3913</v>
      </c>
      <c r="K81" s="1439" t="s">
        <v>3926</v>
      </c>
      <c r="L81" s="458" t="s">
        <v>144</v>
      </c>
    </row>
    <row r="82" spans="1:16" s="458" customFormat="1" ht="13.15" customHeight="1">
      <c r="A82" s="735"/>
      <c r="B82" s="735"/>
      <c r="D82" s="480"/>
      <c r="E82" s="1439" t="s">
        <v>3926</v>
      </c>
      <c r="F82" s="714" t="s">
        <v>651</v>
      </c>
      <c r="H82" s="1439" t="s">
        <v>3926</v>
      </c>
      <c r="I82" s="716" t="s">
        <v>3233</v>
      </c>
      <c r="K82" s="1439" t="s">
        <v>3926</v>
      </c>
      <c r="L82" s="458" t="s">
        <v>364</v>
      </c>
    </row>
    <row r="83" spans="1:16" s="458" customFormat="1" ht="9" customHeight="1">
      <c r="A83" s="735"/>
      <c r="B83" s="735"/>
      <c r="D83" s="480"/>
      <c r="E83" s="721"/>
      <c r="I83" s="480"/>
      <c r="J83" s="468"/>
      <c r="K83" s="721"/>
      <c r="P83" s="469"/>
    </row>
    <row r="84" spans="1:16" s="458" customFormat="1" ht="13.15" customHeight="1">
      <c r="A84" s="491" t="s">
        <v>542</v>
      </c>
      <c r="B84" s="735"/>
      <c r="C84" s="485" t="s">
        <v>1835</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848</v>
      </c>
      <c r="D86" s="721"/>
      <c r="E86" s="1442"/>
      <c r="F86" s="1443"/>
      <c r="G86" s="1443"/>
      <c r="H86" s="1443"/>
      <c r="I86" s="1443"/>
      <c r="J86" s="1443"/>
      <c r="K86" s="1443"/>
      <c r="L86" s="1444"/>
      <c r="M86" s="789" t="s">
        <v>849</v>
      </c>
      <c r="N86" s="789"/>
      <c r="O86" s="1558"/>
      <c r="P86" s="1559"/>
    </row>
    <row r="87" spans="1:16" s="458" customFormat="1" ht="13.15" customHeight="1">
      <c r="C87" s="464" t="s">
        <v>1642</v>
      </c>
      <c r="D87" s="472"/>
      <c r="E87" s="1442"/>
      <c r="F87" s="1443"/>
      <c r="G87" s="1443"/>
      <c r="H87" s="1443"/>
      <c r="I87" s="1443"/>
      <c r="J87" s="1443"/>
      <c r="K87" s="1443"/>
      <c r="L87" s="1444"/>
      <c r="M87" s="789" t="s">
        <v>1391</v>
      </c>
      <c r="N87" s="789"/>
      <c r="O87" s="1480"/>
      <c r="P87" s="1482"/>
    </row>
    <row r="88" spans="1:16" s="458" customFormat="1" ht="13.15" customHeight="1">
      <c r="C88" s="464" t="s">
        <v>954</v>
      </c>
      <c r="E88" s="1442"/>
      <c r="F88" s="1190"/>
      <c r="G88" s="1191"/>
      <c r="H88" s="713" t="s">
        <v>2831</v>
      </c>
      <c r="I88" s="1439"/>
      <c r="J88" s="493" t="s">
        <v>3354</v>
      </c>
      <c r="K88" s="1476"/>
      <c r="L88" s="1191"/>
      <c r="M88" s="418"/>
      <c r="N88" s="418"/>
      <c r="O88" s="418"/>
      <c r="P88" s="418"/>
    </row>
    <row r="89" spans="1:16" s="458" customFormat="1" ht="13.15" customHeight="1">
      <c r="C89" s="458" t="s">
        <v>3302</v>
      </c>
      <c r="E89" s="1442"/>
      <c r="F89" s="1190"/>
      <c r="G89" s="1191"/>
      <c r="H89" s="719" t="s">
        <v>3057</v>
      </c>
      <c r="I89" s="1442"/>
      <c r="J89" s="1190"/>
      <c r="K89" s="1191"/>
      <c r="L89" s="732" t="s">
        <v>3061</v>
      </c>
      <c r="M89" s="1442"/>
      <c r="N89" s="1190"/>
      <c r="O89" s="1190"/>
      <c r="P89" s="1191"/>
    </row>
    <row r="90" spans="1:16" s="458" customFormat="1" ht="13.15" customHeight="1">
      <c r="C90" s="464" t="s">
        <v>3301</v>
      </c>
      <c r="E90" s="1473"/>
      <c r="F90" s="1474"/>
      <c r="G90" s="1475"/>
      <c r="H90" s="719" t="s">
        <v>2834</v>
      </c>
      <c r="I90" s="1479"/>
      <c r="J90" s="1191"/>
      <c r="K90" s="493" t="s">
        <v>2835</v>
      </c>
      <c r="L90" s="1479"/>
      <c r="M90" s="1191"/>
      <c r="N90" s="493" t="s">
        <v>3056</v>
      </c>
      <c r="O90" s="1479"/>
      <c r="P90" s="1191"/>
    </row>
    <row r="91" spans="1:16" s="458" customFormat="1" ht="3" customHeight="1">
      <c r="A91" s="735"/>
      <c r="B91" s="735"/>
      <c r="G91" s="480"/>
      <c r="H91" s="719"/>
      <c r="I91" s="719"/>
      <c r="M91" s="469"/>
    </row>
    <row r="92" spans="1:16" s="458" customFormat="1" ht="13.15" customHeight="1">
      <c r="A92" s="491" t="s">
        <v>464</v>
      </c>
      <c r="B92" s="735"/>
      <c r="C92" s="715" t="s">
        <v>2666</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3060</v>
      </c>
      <c r="C96" s="715" t="s">
        <v>2123</v>
      </c>
      <c r="D96" s="716"/>
      <c r="E96" s="716"/>
      <c r="F96" s="719"/>
      <c r="G96" s="719"/>
      <c r="H96" s="1477">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3063</v>
      </c>
      <c r="C98" s="715" t="s">
        <v>526</v>
      </c>
      <c r="D98" s="716"/>
      <c r="E98" s="716"/>
      <c r="F98" s="719"/>
      <c r="G98" s="719"/>
      <c r="H98" s="1560">
        <v>1470875</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1239</v>
      </c>
      <c r="C100" s="715" t="s">
        <v>396</v>
      </c>
      <c r="D100" s="716"/>
      <c r="E100" s="716"/>
      <c r="F100" s="719"/>
      <c r="G100" s="719"/>
      <c r="H100" s="719"/>
      <c r="I100" s="719"/>
      <c r="J100" s="480"/>
      <c r="K100" s="719"/>
      <c r="L100" s="719"/>
      <c r="N100" s="721"/>
      <c r="O100" s="721"/>
    </row>
    <row r="101" spans="1:16" s="458" customFormat="1" ht="13.15" customHeight="1">
      <c r="B101" s="735"/>
      <c r="C101" s="716" t="s">
        <v>3235</v>
      </c>
      <c r="D101" s="716"/>
      <c r="F101" s="716" t="s">
        <v>1774</v>
      </c>
      <c r="G101" s="719"/>
      <c r="H101" s="719"/>
      <c r="I101" s="719"/>
      <c r="J101" s="716" t="s">
        <v>3235</v>
      </c>
      <c r="K101" s="716"/>
      <c r="M101" s="716" t="s">
        <v>1774</v>
      </c>
      <c r="N101" s="719"/>
      <c r="O101" s="719"/>
      <c r="P101" s="719"/>
    </row>
    <row r="102" spans="1:16" s="458" customFormat="1" ht="13.15" customHeight="1">
      <c r="A102" s="735"/>
      <c r="B102" s="735"/>
      <c r="C102" s="1561" t="s">
        <v>4014</v>
      </c>
      <c r="D102" s="1562"/>
      <c r="E102" s="1562"/>
      <c r="F102" s="1562" t="s">
        <v>3994</v>
      </c>
      <c r="G102" s="1562"/>
      <c r="H102" s="1562"/>
      <c r="I102" s="1563"/>
      <c r="J102" s="1561">
        <v>8</v>
      </c>
      <c r="K102" s="1562"/>
      <c r="L102" s="1562"/>
      <c r="M102" s="1562"/>
      <c r="N102" s="1562"/>
      <c r="O102" s="1562"/>
      <c r="P102" s="1563"/>
    </row>
    <row r="103" spans="1:16" s="458" customFormat="1" ht="13.15" customHeight="1">
      <c r="A103" s="735"/>
      <c r="B103" s="735"/>
      <c r="C103" s="1561" t="s">
        <v>4014</v>
      </c>
      <c r="D103" s="1562"/>
      <c r="E103" s="1562"/>
      <c r="F103" s="1564" t="s">
        <v>3925</v>
      </c>
      <c r="G103" s="1564"/>
      <c r="H103" s="1564"/>
      <c r="I103" s="1565"/>
      <c r="J103" s="1566">
        <v>9</v>
      </c>
      <c r="K103" s="1564"/>
      <c r="L103" s="1564"/>
      <c r="M103" s="1564"/>
      <c r="N103" s="1564"/>
      <c r="O103" s="1564"/>
      <c r="P103" s="1565"/>
    </row>
    <row r="104" spans="1:16" s="458" customFormat="1" ht="13.15" customHeight="1">
      <c r="A104" s="735"/>
      <c r="B104" s="735"/>
      <c r="C104" s="1566">
        <v>3</v>
      </c>
      <c r="D104" s="1564"/>
      <c r="E104" s="1564"/>
      <c r="F104" s="1564"/>
      <c r="G104" s="1564"/>
      <c r="H104" s="1564"/>
      <c r="I104" s="1565"/>
      <c r="J104" s="1566">
        <v>10</v>
      </c>
      <c r="K104" s="1564"/>
      <c r="L104" s="1564"/>
      <c r="M104" s="1564"/>
      <c r="N104" s="1564"/>
      <c r="O104" s="1564"/>
      <c r="P104" s="1565"/>
    </row>
    <row r="105" spans="1:16" s="458" customFormat="1" ht="13.15" customHeight="1">
      <c r="A105" s="735"/>
      <c r="B105" s="735"/>
      <c r="C105" s="1566">
        <v>4</v>
      </c>
      <c r="D105" s="1564"/>
      <c r="E105" s="1564"/>
      <c r="F105" s="1564"/>
      <c r="G105" s="1564"/>
      <c r="H105" s="1564"/>
      <c r="I105" s="1565"/>
      <c r="J105" s="1566">
        <v>11</v>
      </c>
      <c r="K105" s="1564"/>
      <c r="L105" s="1564"/>
      <c r="M105" s="1564"/>
      <c r="N105" s="1564"/>
      <c r="O105" s="1564"/>
      <c r="P105" s="1565"/>
    </row>
    <row r="106" spans="1:16" s="458" customFormat="1" ht="13.15" customHeight="1">
      <c r="A106" s="735"/>
      <c r="B106" s="735"/>
      <c r="C106" s="1566">
        <v>5</v>
      </c>
      <c r="D106" s="1564"/>
      <c r="E106" s="1564"/>
      <c r="F106" s="1564"/>
      <c r="G106" s="1564"/>
      <c r="H106" s="1564"/>
      <c r="I106" s="1565"/>
      <c r="J106" s="1566">
        <v>12</v>
      </c>
      <c r="K106" s="1564"/>
      <c r="L106" s="1564"/>
      <c r="M106" s="1564"/>
      <c r="N106" s="1564"/>
      <c r="O106" s="1564"/>
      <c r="P106" s="1565"/>
    </row>
    <row r="107" spans="1:16" s="458" customFormat="1" ht="13.15" customHeight="1">
      <c r="A107" s="735"/>
      <c r="B107" s="735"/>
      <c r="C107" s="1566">
        <v>6</v>
      </c>
      <c r="D107" s="1564"/>
      <c r="E107" s="1564"/>
      <c r="F107" s="1564"/>
      <c r="G107" s="1564"/>
      <c r="H107" s="1564"/>
      <c r="I107" s="1565"/>
      <c r="J107" s="1566">
        <v>13</v>
      </c>
      <c r="K107" s="1564"/>
      <c r="L107" s="1564"/>
      <c r="M107" s="1564"/>
      <c r="N107" s="1564"/>
      <c r="O107" s="1564"/>
      <c r="P107" s="1565"/>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3235</v>
      </c>
      <c r="D112" s="716"/>
      <c r="F112" s="716" t="s">
        <v>1774</v>
      </c>
      <c r="G112" s="719"/>
      <c r="H112" s="719"/>
      <c r="I112" s="719"/>
      <c r="J112" s="716" t="s">
        <v>3235</v>
      </c>
      <c r="K112" s="716"/>
      <c r="M112" s="716" t="s">
        <v>1774</v>
      </c>
      <c r="N112" s="719"/>
      <c r="O112" s="719"/>
      <c r="P112" s="719"/>
    </row>
    <row r="113" spans="1:16" s="458" customFormat="1" ht="13.15" customHeight="1">
      <c r="A113" s="735"/>
      <c r="B113" s="735"/>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6">
        <v>2</v>
      </c>
      <c r="D114" s="1564"/>
      <c r="E114" s="1564"/>
      <c r="F114" s="1564"/>
      <c r="G114" s="1564"/>
      <c r="H114" s="1564"/>
      <c r="I114" s="1565"/>
      <c r="J114" s="1566">
        <v>9</v>
      </c>
      <c r="K114" s="1564"/>
      <c r="L114" s="1564"/>
      <c r="M114" s="1564"/>
      <c r="N114" s="1564"/>
      <c r="O114" s="1564"/>
      <c r="P114" s="1565"/>
    </row>
    <row r="115" spans="1:16" s="458" customFormat="1" ht="13.15" customHeight="1">
      <c r="A115" s="735"/>
      <c r="B115" s="735"/>
      <c r="C115" s="1566">
        <v>3</v>
      </c>
      <c r="D115" s="1564"/>
      <c r="E115" s="1564"/>
      <c r="F115" s="1564"/>
      <c r="G115" s="1564"/>
      <c r="H115" s="1564"/>
      <c r="I115" s="1565"/>
      <c r="J115" s="1566">
        <v>10</v>
      </c>
      <c r="K115" s="1564"/>
      <c r="L115" s="1564"/>
      <c r="M115" s="1564"/>
      <c r="N115" s="1564"/>
      <c r="O115" s="1564"/>
      <c r="P115" s="1565"/>
    </row>
    <row r="116" spans="1:16" s="458" customFormat="1" ht="13.15" customHeight="1">
      <c r="A116" s="735"/>
      <c r="B116" s="735"/>
      <c r="C116" s="1566">
        <v>4</v>
      </c>
      <c r="D116" s="1564"/>
      <c r="E116" s="1564"/>
      <c r="F116" s="1564"/>
      <c r="G116" s="1564"/>
      <c r="H116" s="1564"/>
      <c r="I116" s="1565"/>
      <c r="J116" s="1566">
        <v>11</v>
      </c>
      <c r="K116" s="1564"/>
      <c r="L116" s="1564"/>
      <c r="M116" s="1564"/>
      <c r="N116" s="1564"/>
      <c r="O116" s="1564"/>
      <c r="P116" s="1565"/>
    </row>
    <row r="117" spans="1:16" s="458" customFormat="1" ht="13.15" customHeight="1">
      <c r="A117" s="735"/>
      <c r="B117" s="735"/>
      <c r="C117" s="1566">
        <v>5</v>
      </c>
      <c r="D117" s="1564"/>
      <c r="E117" s="1564"/>
      <c r="F117" s="1564"/>
      <c r="G117" s="1564"/>
      <c r="H117" s="1564"/>
      <c r="I117" s="1565"/>
      <c r="J117" s="1566">
        <v>12</v>
      </c>
      <c r="K117" s="1564"/>
      <c r="L117" s="1564"/>
      <c r="M117" s="1564"/>
      <c r="N117" s="1564"/>
      <c r="O117" s="1564"/>
      <c r="P117" s="1565"/>
    </row>
    <row r="118" spans="1:16" s="458" customFormat="1" ht="13.15" customHeight="1">
      <c r="A118" s="735"/>
      <c r="B118" s="735"/>
      <c r="C118" s="1566">
        <v>6</v>
      </c>
      <c r="D118" s="1564"/>
      <c r="E118" s="1564"/>
      <c r="F118" s="1564"/>
      <c r="G118" s="1564"/>
      <c r="H118" s="1564"/>
      <c r="I118" s="1565"/>
      <c r="J118" s="1566">
        <v>13</v>
      </c>
      <c r="K118" s="1564"/>
      <c r="L118" s="1564"/>
      <c r="M118" s="1564"/>
      <c r="N118" s="1564"/>
      <c r="O118" s="1564"/>
      <c r="P118" s="1565"/>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465</v>
      </c>
      <c r="B121" s="735"/>
      <c r="C121" s="488" t="s">
        <v>3665</v>
      </c>
      <c r="D121" s="488"/>
      <c r="E121" s="488"/>
      <c r="F121" s="488"/>
      <c r="H121" s="1439" t="s">
        <v>3926</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3060</v>
      </c>
      <c r="C123" s="465" t="s">
        <v>2732</v>
      </c>
      <c r="H123" s="1439"/>
      <c r="M123" s="719"/>
      <c r="N123" s="721"/>
      <c r="O123" s="721"/>
      <c r="P123" s="469"/>
    </row>
    <row r="124" spans="1:16" s="458" customFormat="1" ht="13.15" customHeight="1">
      <c r="A124" s="735"/>
      <c r="B124" s="735"/>
      <c r="C124" s="716" t="s">
        <v>3667</v>
      </c>
      <c r="D124" s="716"/>
      <c r="E124" s="716"/>
      <c r="F124" s="719"/>
      <c r="H124" s="1570"/>
      <c r="N124" s="721"/>
      <c r="O124" s="721"/>
      <c r="P124" s="469"/>
    </row>
    <row r="125" spans="1:16" s="458" customFormat="1" ht="13.15" customHeight="1">
      <c r="A125" s="735"/>
      <c r="B125" s="735"/>
      <c r="C125" s="496" t="s">
        <v>2731</v>
      </c>
      <c r="D125" s="464"/>
      <c r="H125" s="1442"/>
      <c r="I125" s="1444"/>
      <c r="P125" s="469"/>
    </row>
    <row r="126" spans="1:16" s="458" customFormat="1" ht="13.15" customHeight="1">
      <c r="A126" s="735"/>
      <c r="B126" s="735"/>
      <c r="C126" s="716" t="s">
        <v>3668</v>
      </c>
      <c r="D126" s="716"/>
      <c r="E126" s="716"/>
      <c r="F126" s="719"/>
      <c r="H126" s="1570"/>
      <c r="K126" s="418" t="s">
        <v>3375</v>
      </c>
      <c r="O126" s="1442" t="s">
        <v>715</v>
      </c>
      <c r="P126" s="1444"/>
    </row>
    <row r="127" spans="1:16" s="458" customFormat="1" ht="13.15" customHeight="1">
      <c r="A127" s="735"/>
      <c r="B127" s="735"/>
      <c r="C127" s="716" t="s">
        <v>3666</v>
      </c>
      <c r="F127" s="719"/>
      <c r="H127" s="1477"/>
      <c r="K127" s="418" t="s">
        <v>3376</v>
      </c>
      <c r="O127" s="1442" t="s">
        <v>715</v>
      </c>
      <c r="P127" s="1444"/>
    </row>
    <row r="128" spans="1:16" s="458" customFormat="1" ht="13.15" customHeight="1">
      <c r="A128" s="735"/>
      <c r="B128" s="735"/>
      <c r="C128" s="716" t="s">
        <v>3273</v>
      </c>
      <c r="D128" s="716"/>
      <c r="E128" s="716"/>
      <c r="F128" s="719"/>
      <c r="H128" s="1558"/>
      <c r="I128" s="1559"/>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3063</v>
      </c>
      <c r="C130" s="715" t="s">
        <v>3770</v>
      </c>
      <c r="D130" s="716"/>
      <c r="E130" s="716"/>
      <c r="F130" s="719"/>
      <c r="H130" s="1477"/>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1239</v>
      </c>
      <c r="C132" s="715" t="s">
        <v>982</v>
      </c>
      <c r="D132" s="716"/>
      <c r="E132" s="716"/>
      <c r="F132" s="719"/>
      <c r="G132" s="719"/>
      <c r="N132" s="721"/>
      <c r="O132" s="721"/>
      <c r="P132" s="469"/>
    </row>
    <row r="133" spans="1:16" s="458" customFormat="1" ht="13.15" customHeight="1">
      <c r="A133" s="735"/>
      <c r="B133" s="735"/>
      <c r="C133" s="716" t="s">
        <v>1086</v>
      </c>
      <c r="D133" s="716"/>
      <c r="E133" s="716"/>
      <c r="F133" s="719"/>
      <c r="G133" s="719"/>
      <c r="H133" s="1477"/>
      <c r="K133" s="716" t="s">
        <v>2287</v>
      </c>
      <c r="L133" s="716"/>
      <c r="M133" s="719"/>
      <c r="N133" s="719"/>
      <c r="O133" s="1477"/>
      <c r="P133" s="469"/>
    </row>
    <row r="134" spans="1:16" s="458" customFormat="1" ht="13.15" customHeight="1">
      <c r="A134" s="735"/>
      <c r="B134" s="735"/>
      <c r="C134" s="716" t="s">
        <v>1087</v>
      </c>
      <c r="D134" s="716"/>
      <c r="E134" s="716"/>
      <c r="F134" s="719"/>
      <c r="G134" s="719"/>
      <c r="H134" s="1477"/>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466</v>
      </c>
      <c r="B136" s="735"/>
      <c r="C136" s="488" t="s">
        <v>1836</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3060</v>
      </c>
      <c r="C138" s="479" t="s">
        <v>2865</v>
      </c>
      <c r="F138" s="719"/>
      <c r="G138" s="719"/>
      <c r="H138" s="719"/>
      <c r="I138" s="719"/>
      <c r="J138" s="480"/>
      <c r="K138" s="719"/>
      <c r="L138" s="719"/>
      <c r="N138" s="721"/>
      <c r="O138" s="721"/>
      <c r="P138" s="469"/>
    </row>
    <row r="139" spans="1:16" s="458" customFormat="1" ht="12.6" customHeight="1">
      <c r="A139" s="735"/>
      <c r="B139" s="735"/>
      <c r="C139" s="487" t="s">
        <v>2279</v>
      </c>
      <c r="D139" s="480"/>
      <c r="E139" s="480"/>
      <c r="F139" s="719"/>
      <c r="G139" s="719"/>
      <c r="H139" s="719"/>
      <c r="I139" s="719"/>
      <c r="K139" s="1477" t="s">
        <v>3926</v>
      </c>
      <c r="N139" s="721"/>
      <c r="O139" s="721"/>
      <c r="P139" s="469"/>
    </row>
    <row r="140" spans="1:16" s="458" customFormat="1" ht="12.6" customHeight="1">
      <c r="A140" s="735"/>
      <c r="B140" s="735"/>
      <c r="C140" s="458" t="s">
        <v>950</v>
      </c>
      <c r="K140" s="1552"/>
      <c r="L140" s="464" t="s">
        <v>2827</v>
      </c>
      <c r="P140" s="497">
        <f>IF('Part VI-Revenues &amp; Expenses'!$M$61=0,0,$K140/'Part VI-Revenues &amp; Expenses'!$M$61)</f>
        <v>0</v>
      </c>
    </row>
    <row r="141" spans="1:16" s="458" customFormat="1" ht="12.6" customHeight="1">
      <c r="A141" s="735"/>
      <c r="B141" s="735"/>
      <c r="C141" s="458" t="s">
        <v>3274</v>
      </c>
      <c r="K141" s="1552"/>
      <c r="L141" s="464" t="s">
        <v>2827</v>
      </c>
      <c r="P141" s="497">
        <f>IF('Part VI-Revenues &amp; Expenses'!$M$61=0,0,$K141/'Part VI-Revenues &amp; Expenses'!$M$61)</f>
        <v>0</v>
      </c>
    </row>
    <row r="142" spans="1:16" s="458" customFormat="1" ht="12.6" customHeight="1">
      <c r="A142" s="735"/>
      <c r="B142" s="735"/>
      <c r="C142" s="458" t="s">
        <v>2828</v>
      </c>
      <c r="E142" s="1442"/>
      <c r="F142" s="1443"/>
      <c r="G142" s="1443"/>
      <c r="H142" s="1443"/>
      <c r="I142" s="1443"/>
      <c r="J142" s="1443"/>
      <c r="K142" s="1444"/>
      <c r="L142" s="498" t="s">
        <v>2829</v>
      </c>
      <c r="M142" s="1442"/>
      <c r="N142" s="1443"/>
      <c r="O142" s="1443"/>
      <c r="P142" s="1444"/>
    </row>
    <row r="143" spans="1:16" s="458" customFormat="1" ht="12.6" customHeight="1">
      <c r="A143" s="735"/>
      <c r="B143" s="735"/>
      <c r="C143" s="464" t="s">
        <v>2830</v>
      </c>
      <c r="D143" s="472"/>
      <c r="E143" s="1442"/>
      <c r="F143" s="1443"/>
      <c r="G143" s="1443"/>
      <c r="H143" s="1443"/>
      <c r="I143" s="1443"/>
      <c r="J143" s="1443"/>
      <c r="K143" s="1571"/>
      <c r="L143" s="714" t="s">
        <v>2832</v>
      </c>
      <c r="M143" s="1480"/>
      <c r="N143" s="1481"/>
      <c r="O143" s="1481"/>
      <c r="P143" s="1482"/>
    </row>
    <row r="144" spans="1:16" s="458" customFormat="1" ht="12.6" customHeight="1">
      <c r="A144" s="735"/>
      <c r="B144" s="735"/>
      <c r="C144" s="464" t="s">
        <v>954</v>
      </c>
      <c r="E144" s="1442"/>
      <c r="F144" s="1443"/>
      <c r="G144" s="1443"/>
      <c r="H144" s="1444"/>
      <c r="I144" s="493" t="s">
        <v>3354</v>
      </c>
      <c r="J144" s="1476"/>
      <c r="K144" s="1529"/>
      <c r="L144" s="498" t="s">
        <v>2835</v>
      </c>
      <c r="M144" s="1473"/>
      <c r="N144" s="1474"/>
      <c r="O144" s="1475"/>
    </row>
    <row r="145" spans="1:16" s="458" customFormat="1" ht="12.6" customHeight="1">
      <c r="A145" s="735"/>
      <c r="B145" s="735"/>
      <c r="C145" s="464" t="s">
        <v>2833</v>
      </c>
      <c r="E145" s="1473"/>
      <c r="F145" s="1474"/>
      <c r="G145" s="1475"/>
      <c r="H145" s="499" t="s">
        <v>2834</v>
      </c>
      <c r="I145" s="1473"/>
      <c r="J145" s="1474"/>
      <c r="K145" s="1475"/>
      <c r="L145" s="500" t="s">
        <v>3056</v>
      </c>
      <c r="M145" s="1473"/>
      <c r="N145" s="1474"/>
      <c r="O145" s="1475"/>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3063</v>
      </c>
      <c r="C147" s="715" t="s">
        <v>2373</v>
      </c>
      <c r="D147" s="715"/>
      <c r="E147" s="715"/>
      <c r="F147" s="715"/>
      <c r="G147" s="715"/>
      <c r="I147" s="1477" t="s">
        <v>3926</v>
      </c>
      <c r="J147" s="800" t="s">
        <v>1254</v>
      </c>
      <c r="K147" s="801"/>
      <c r="L147" s="1477"/>
      <c r="M147" s="797" t="s">
        <v>3471</v>
      </c>
      <c r="N147" s="798"/>
      <c r="O147" s="799"/>
      <c r="P147" s="1570"/>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1239</v>
      </c>
      <c r="C149" s="715" t="s">
        <v>2786</v>
      </c>
      <c r="D149" s="715"/>
      <c r="E149" s="715"/>
      <c r="F149" s="715"/>
      <c r="G149" s="715"/>
      <c r="I149" s="1477" t="s">
        <v>3926</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3212</v>
      </c>
      <c r="C151" s="791" t="s">
        <v>3055</v>
      </c>
      <c r="D151" s="791"/>
      <c r="E151" s="791"/>
      <c r="F151" s="791"/>
      <c r="G151" s="715"/>
      <c r="I151" s="1477" t="s">
        <v>3926</v>
      </c>
    </row>
    <row r="152" spans="1:16" s="458" customFormat="1" ht="12.6" customHeight="1">
      <c r="B152" s="735"/>
      <c r="C152" s="790" t="s">
        <v>2210</v>
      </c>
      <c r="D152" s="790"/>
      <c r="E152" s="715"/>
      <c r="F152" s="715"/>
      <c r="G152" s="715"/>
      <c r="I152" s="1572"/>
    </row>
    <row r="153" spans="1:16" s="458" customFormat="1" ht="12.6" customHeight="1">
      <c r="A153" s="735"/>
      <c r="B153" s="735"/>
      <c r="C153" s="776" t="s">
        <v>1380</v>
      </c>
      <c r="D153" s="776"/>
      <c r="E153" s="461"/>
      <c r="F153" s="715"/>
      <c r="G153" s="715"/>
      <c r="I153" s="1572"/>
      <c r="K153" s="468"/>
      <c r="P153" s="469"/>
    </row>
    <row r="154" spans="1:16" s="458" customFormat="1" ht="12.6" customHeight="1">
      <c r="B154" s="735"/>
      <c r="C154" s="776" t="s">
        <v>2823</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2763</v>
      </c>
      <c r="C156" s="395" t="s">
        <v>2374</v>
      </c>
      <c r="D156" s="716"/>
      <c r="E156" s="716"/>
      <c r="F156" s="716"/>
      <c r="G156" s="716"/>
      <c r="H156" s="719"/>
      <c r="J156" s="468"/>
      <c r="K156" s="480"/>
      <c r="M156" s="721"/>
      <c r="O156" s="719"/>
      <c r="P156" s="469"/>
    </row>
    <row r="157" spans="1:16" s="458" customFormat="1" ht="12.6" customHeight="1">
      <c r="A157" s="735"/>
      <c r="B157" s="735"/>
      <c r="C157" s="721" t="s">
        <v>3328</v>
      </c>
      <c r="D157" s="470"/>
      <c r="E157" s="721"/>
      <c r="F157" s="721"/>
      <c r="I157" s="1477" t="s">
        <v>3926</v>
      </c>
      <c r="L157" s="721" t="s">
        <v>3327</v>
      </c>
      <c r="P157" s="1477" t="s">
        <v>3926</v>
      </c>
    </row>
    <row r="158" spans="1:16" s="458" customFormat="1" ht="12.6" customHeight="1">
      <c r="A158" s="735"/>
      <c r="B158" s="735"/>
      <c r="C158" s="721" t="s">
        <v>3330</v>
      </c>
      <c r="I158" s="1477" t="s">
        <v>3926</v>
      </c>
      <c r="L158" s="721" t="s">
        <v>2376</v>
      </c>
      <c r="P158" s="1477" t="s">
        <v>3926</v>
      </c>
    </row>
    <row r="159" spans="1:16" s="458" customFormat="1" ht="12.6" customHeight="1">
      <c r="A159" s="735"/>
      <c r="C159" s="721" t="s">
        <v>1980</v>
      </c>
      <c r="D159" s="505"/>
      <c r="I159" s="1477" t="s">
        <v>3933</v>
      </c>
      <c r="L159" s="721" t="s">
        <v>2545</v>
      </c>
      <c r="P159" s="1477" t="s">
        <v>3926</v>
      </c>
    </row>
    <row r="160" spans="1:16" s="458" customFormat="1" ht="12.6" customHeight="1">
      <c r="A160" s="735"/>
      <c r="B160" s="735"/>
      <c r="C160" s="721" t="s">
        <v>2375</v>
      </c>
      <c r="D160" s="470"/>
      <c r="E160" s="721"/>
      <c r="F160" s="721"/>
      <c r="I160" s="1477" t="s">
        <v>3933</v>
      </c>
      <c r="K160" s="470"/>
      <c r="L160" s="721" t="s">
        <v>2290</v>
      </c>
      <c r="M160" s="721"/>
      <c r="P160" s="1477" t="s">
        <v>3926</v>
      </c>
    </row>
    <row r="161" spans="1:16" s="458" customFormat="1" ht="12.6" customHeight="1">
      <c r="A161" s="735"/>
      <c r="B161" s="735"/>
      <c r="C161" s="721" t="s">
        <v>2377</v>
      </c>
      <c r="D161" s="470"/>
      <c r="E161" s="721"/>
      <c r="F161" s="721"/>
      <c r="I161" s="1477" t="s">
        <v>3933</v>
      </c>
      <c r="K161" s="470"/>
      <c r="L161" s="721"/>
      <c r="M161" s="721"/>
    </row>
    <row r="162" spans="1:16" s="458" customFormat="1" ht="12.6" customHeight="1">
      <c r="A162" s="735"/>
      <c r="B162" s="461"/>
      <c r="C162" s="721" t="s">
        <v>2845</v>
      </c>
      <c r="D162" s="470"/>
      <c r="I162" s="1477" t="s">
        <v>3926</v>
      </c>
      <c r="J162" s="504" t="s">
        <v>3374</v>
      </c>
      <c r="O162" s="1573"/>
      <c r="P162" s="1574"/>
    </row>
    <row r="163" spans="1:16" s="458" customFormat="1" ht="12.6" customHeight="1">
      <c r="A163" s="735"/>
      <c r="B163" s="735"/>
      <c r="C163" s="721" t="s">
        <v>3410</v>
      </c>
      <c r="E163" s="1553"/>
      <c r="F163" s="1575"/>
      <c r="G163" s="1575"/>
      <c r="H163" s="1554"/>
      <c r="I163" s="1477"/>
    </row>
    <row r="164" spans="1:16" s="458" customFormat="1" ht="1.9" customHeight="1">
      <c r="A164" s="735"/>
      <c r="B164" s="735"/>
      <c r="P164" s="468"/>
    </row>
    <row r="165" spans="1:16" s="458" customFormat="1" ht="13.15" customHeight="1">
      <c r="B165" s="735" t="s">
        <v>2764</v>
      </c>
      <c r="C165" s="465" t="s">
        <v>1229</v>
      </c>
    </row>
    <row r="166" spans="1:16" s="458" customFormat="1" ht="12.6" customHeight="1">
      <c r="A166" s="735"/>
      <c r="B166" s="735"/>
      <c r="C166" s="464" t="s">
        <v>976</v>
      </c>
      <c r="D166" s="716"/>
      <c r="E166" s="716"/>
      <c r="F166" s="719"/>
      <c r="G166" s="719"/>
      <c r="I166" s="1558"/>
      <c r="J166" s="1559"/>
      <c r="N166" s="721"/>
      <c r="O166" s="721"/>
      <c r="P166" s="469"/>
    </row>
    <row r="167" spans="1:16" s="458" customFormat="1" ht="12.6" customHeight="1">
      <c r="A167" s="735"/>
      <c r="B167" s="735"/>
      <c r="C167" s="464" t="s">
        <v>368</v>
      </c>
      <c r="D167" s="716"/>
      <c r="E167" s="716"/>
      <c r="F167" s="719"/>
      <c r="G167" s="719"/>
      <c r="I167" s="1558"/>
      <c r="J167" s="1559"/>
      <c r="N167" s="721"/>
      <c r="O167" s="721"/>
      <c r="P167" s="469"/>
    </row>
    <row r="168" spans="1:16" s="458" customFormat="1" ht="12.6" customHeight="1">
      <c r="A168" s="735"/>
      <c r="B168" s="735"/>
      <c r="C168" s="464" t="s">
        <v>3436</v>
      </c>
      <c r="D168" s="716"/>
      <c r="E168" s="716"/>
      <c r="F168" s="719"/>
      <c r="G168" s="719"/>
      <c r="I168" s="1558">
        <v>41364</v>
      </c>
      <c r="J168" s="1559"/>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2831</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2853</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2866</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6"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6"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77"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6"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77"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77"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77"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2815</v>
      </c>
      <c r="H300" s="632" t="s">
        <v>537</v>
      </c>
      <c r="I300" s="633"/>
      <c r="J300" s="634" t="s">
        <v>94</v>
      </c>
      <c r="K300" s="635"/>
      <c r="L300" s="626"/>
      <c r="M300" s="627"/>
      <c r="N300" s="636" t="s">
        <v>1894</v>
      </c>
      <c r="O300" s="636" t="s">
        <v>1739</v>
      </c>
      <c r="P300" s="1576"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2816</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2817</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6"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2818</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2819</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77"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6"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77"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6"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77"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77"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77"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77"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77"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2870</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2869</v>
      </c>
      <c r="K367" s="635"/>
      <c r="L367" s="626"/>
      <c r="M367" s="627"/>
      <c r="N367" s="636" t="s">
        <v>2872</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2871</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7"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7"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7"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7"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7"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6"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7"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77"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77"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77"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77"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77"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7"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2860</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7"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7"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77"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77"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6"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6"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77"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77"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6"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7"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77"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77"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6"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7"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7"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7"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2861</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2874</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2876</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2873</v>
      </c>
      <c r="K577" s="635"/>
      <c r="L577" s="626"/>
      <c r="M577" s="627"/>
      <c r="N577" s="636" t="s">
        <v>2879</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2875</v>
      </c>
      <c r="K578" s="635"/>
      <c r="L578" s="626"/>
      <c r="M578" s="627"/>
      <c r="N578" s="636" t="s">
        <v>2881</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2877</v>
      </c>
      <c r="K579" s="635"/>
      <c r="L579" s="626"/>
      <c r="M579" s="627"/>
      <c r="N579" s="636" t="s">
        <v>2883</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2878</v>
      </c>
      <c r="K580" s="635"/>
      <c r="L580" s="626"/>
      <c r="M580" s="627"/>
      <c r="N580" s="636" t="s">
        <v>2885</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2880</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2882</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2884</v>
      </c>
      <c r="K583" s="635"/>
      <c r="L583" s="626"/>
      <c r="M583" s="627"/>
      <c r="N583" s="636" t="s">
        <v>2848</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2886</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2887</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2847</v>
      </c>
      <c r="K586" s="635"/>
      <c r="L586" s="626"/>
      <c r="M586" s="627"/>
      <c r="N586" s="636" t="s">
        <v>1420</v>
      </c>
      <c r="O586" s="636" t="s">
        <v>3283</v>
      </c>
      <c r="P586" s="1576"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7"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77"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7" t="s">
        <v>3242</v>
      </c>
      <c r="Q602" s="611"/>
      <c r="R602" s="507" t="s">
        <v>3867</v>
      </c>
      <c r="S602" s="507" t="s">
        <v>415</v>
      </c>
      <c r="T602" s="1577"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77"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77"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77"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77"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77"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77"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77"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77"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77"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77"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77"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77"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77"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2853</v>
      </c>
      <c r="O616" s="636" t="s">
        <v>124</v>
      </c>
      <c r="P616" s="1576" t="s">
        <v>1413</v>
      </c>
      <c r="Q616" s="611"/>
      <c r="R616" s="507" t="s">
        <v>3880</v>
      </c>
      <c r="S616" s="507" t="s">
        <v>3087</v>
      </c>
      <c r="T616" s="1577"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2852</v>
      </c>
      <c r="K617" s="635"/>
      <c r="L617" s="626"/>
      <c r="M617" s="627"/>
      <c r="N617" s="636" t="s">
        <v>1731</v>
      </c>
      <c r="O617" s="636" t="s">
        <v>1221</v>
      </c>
      <c r="P617" s="627" t="s">
        <v>1179</v>
      </c>
      <c r="Q617" s="611"/>
      <c r="R617" s="507" t="s">
        <v>1673</v>
      </c>
      <c r="S617" s="507" t="s">
        <v>2182</v>
      </c>
      <c r="T617" s="1577"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2854</v>
      </c>
      <c r="K618" s="635"/>
      <c r="L618" s="626"/>
      <c r="M618" s="627"/>
      <c r="N618" s="507" t="s">
        <v>1693</v>
      </c>
      <c r="O618" s="507" t="s">
        <v>1552</v>
      </c>
      <c r="P618" s="1577" t="s">
        <v>3242</v>
      </c>
      <c r="Q618" s="611"/>
      <c r="R618" s="507" t="s">
        <v>1499</v>
      </c>
      <c r="S618" s="507" t="s">
        <v>1735</v>
      </c>
      <c r="T618" s="1577"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2855</v>
      </c>
      <c r="K619" s="635"/>
      <c r="L619" s="626"/>
      <c r="M619" s="627"/>
      <c r="N619" s="636" t="s">
        <v>1735</v>
      </c>
      <c r="O619" s="636" t="s">
        <v>2026</v>
      </c>
      <c r="P619" s="627" t="s">
        <v>1180</v>
      </c>
      <c r="Q619" s="611"/>
      <c r="R619" s="507" t="s">
        <v>1674</v>
      </c>
      <c r="S619" s="507" t="s">
        <v>965</v>
      </c>
      <c r="T619" s="1577"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77"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7" t="s">
        <v>3242</v>
      </c>
      <c r="Q621" s="611"/>
      <c r="R621" s="507" t="s">
        <v>1676</v>
      </c>
      <c r="S621" s="507" t="s">
        <v>3085</v>
      </c>
      <c r="T621" s="1577"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7"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78"/>
      <c r="R623" s="507" t="s">
        <v>1678</v>
      </c>
      <c r="S623" s="507" t="s">
        <v>2271</v>
      </c>
      <c r="T623" s="1577"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77"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7" t="s">
        <v>3242</v>
      </c>
      <c r="Q625" s="611"/>
      <c r="R625" s="507" t="s">
        <v>1680</v>
      </c>
      <c r="S625" s="507" t="s">
        <v>215</v>
      </c>
      <c r="T625" s="1577"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77" t="s">
        <v>3242</v>
      </c>
      <c r="Q626" s="611"/>
      <c r="R626" s="507" t="s">
        <v>1681</v>
      </c>
      <c r="S626" s="507" t="s">
        <v>2036</v>
      </c>
      <c r="T626" s="1577"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77"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77"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77"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77"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77"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77"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77"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7"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7"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77"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7"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7"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7"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7"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77"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77"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77"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7" t="s">
        <v>3242</v>
      </c>
      <c r="Q644" s="611"/>
      <c r="R644" s="507" t="s">
        <v>1695</v>
      </c>
      <c r="S644" s="507" t="s">
        <v>965</v>
      </c>
      <c r="T644" s="1577"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77"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7"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77"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77"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77"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77"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77"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77"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6" t="s">
        <v>1413</v>
      </c>
      <c r="Q653" s="611"/>
      <c r="R653" s="507" t="s">
        <v>1703</v>
      </c>
      <c r="S653" s="507" t="s">
        <v>2982</v>
      </c>
      <c r="T653" s="1577"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7" t="s">
        <v>3242</v>
      </c>
      <c r="Q654" s="611"/>
      <c r="R654" s="507" t="s">
        <v>1704</v>
      </c>
      <c r="S654" s="507" t="s">
        <v>3085</v>
      </c>
      <c r="T654" s="1577"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77"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7"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7" t="s">
        <v>3242</v>
      </c>
      <c r="Q657" s="611"/>
      <c r="R657" s="507" t="s">
        <v>1707</v>
      </c>
      <c r="S657" s="507" t="s">
        <v>3762</v>
      </c>
      <c r="T657" s="1577"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77"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7"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77"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7"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7"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77"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77"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77"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2839</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6"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7"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7"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6"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77"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6"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7"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7"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showWhiteSpace="0" zoomScaleNormal="100" workbookViewId="0">
      <selection activeCell="C31" sqref="C31"/>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2011-020 Heritage Vista Apartments, Milledgeville, Baldwin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2" t="s">
        <v>3934</v>
      </c>
      <c r="I5" s="1190"/>
      <c r="J5" s="1190"/>
      <c r="K5" s="1190"/>
      <c r="L5" s="1190"/>
      <c r="M5" s="1190"/>
      <c r="N5" s="1191"/>
      <c r="O5" s="714" t="s">
        <v>3067</v>
      </c>
      <c r="P5" s="714"/>
      <c r="Q5" s="1442" t="s">
        <v>3920</v>
      </c>
      <c r="R5" s="1190"/>
      <c r="S5" s="1191"/>
    </row>
    <row r="6" spans="1:19" s="458" customFormat="1" ht="12.6" customHeight="1">
      <c r="D6" s="508"/>
      <c r="E6" s="464" t="s">
        <v>1642</v>
      </c>
      <c r="F6" s="472"/>
      <c r="H6" s="1442" t="s">
        <v>3922</v>
      </c>
      <c r="I6" s="1190"/>
      <c r="J6" s="1190"/>
      <c r="K6" s="1190"/>
      <c r="L6" s="1190"/>
      <c r="M6" s="1190"/>
      <c r="N6" s="1191"/>
      <c r="O6" s="714" t="s">
        <v>2776</v>
      </c>
      <c r="Q6" s="1442" t="s">
        <v>3935</v>
      </c>
      <c r="R6" s="1190"/>
      <c r="S6" s="1191"/>
    </row>
    <row r="7" spans="1:19" s="458" customFormat="1" ht="12.6" customHeight="1">
      <c r="D7" s="508"/>
      <c r="E7" s="464" t="s">
        <v>954</v>
      </c>
      <c r="H7" s="1442" t="s">
        <v>3923</v>
      </c>
      <c r="I7" s="1190"/>
      <c r="J7" s="1191"/>
      <c r="K7" s="1472" t="s">
        <v>1255</v>
      </c>
      <c r="L7" s="1442" t="s">
        <v>3936</v>
      </c>
      <c r="M7" s="1190"/>
      <c r="N7" s="1191"/>
      <c r="O7" s="714" t="s">
        <v>2835</v>
      </c>
      <c r="Q7" s="1473"/>
      <c r="R7" s="1474"/>
      <c r="S7" s="1475"/>
    </row>
    <row r="8" spans="1:19" s="458" customFormat="1" ht="12.6" customHeight="1">
      <c r="D8" s="508"/>
      <c r="E8" s="464" t="s">
        <v>2831</v>
      </c>
      <c r="H8" s="1439" t="s">
        <v>1429</v>
      </c>
      <c r="I8" s="719" t="s">
        <v>1974</v>
      </c>
      <c r="J8" s="1476">
        <v>256303731</v>
      </c>
      <c r="K8" s="1191"/>
      <c r="L8" s="398" t="s">
        <v>1977</v>
      </c>
      <c r="N8" s="1477" t="s">
        <v>3937</v>
      </c>
      <c r="O8" s="714" t="s">
        <v>3056</v>
      </c>
      <c r="Q8" s="1473">
        <v>2563354030</v>
      </c>
      <c r="R8" s="1474"/>
      <c r="S8" s="1475"/>
    </row>
    <row r="9" spans="1:19" s="458" customFormat="1" ht="12.6" customHeight="1">
      <c r="D9" s="508"/>
      <c r="E9" s="464" t="s">
        <v>3062</v>
      </c>
      <c r="H9" s="1473">
        <v>2567609657</v>
      </c>
      <c r="I9" s="1475"/>
      <c r="J9" s="1478"/>
      <c r="K9" s="719" t="s">
        <v>2834</v>
      </c>
      <c r="L9" s="1479">
        <v>2567675804</v>
      </c>
      <c r="M9" s="1191"/>
      <c r="N9" s="466" t="s">
        <v>3061</v>
      </c>
      <c r="O9" s="1480" t="s">
        <v>3924</v>
      </c>
      <c r="P9" s="1481"/>
      <c r="Q9" s="1481"/>
      <c r="R9" s="1481"/>
      <c r="S9" s="1482"/>
    </row>
    <row r="10" spans="1:19" s="458" customFormat="1" ht="13.15" customHeight="1">
      <c r="D10" s="508"/>
      <c r="E10" s="441" t="s">
        <v>998</v>
      </c>
      <c r="H10" s="501"/>
      <c r="L10" s="550" t="s">
        <v>1975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3" t="s">
        <v>1973</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4" t="s">
        <v>1971</v>
      </c>
      <c r="P14" s="1484"/>
      <c r="Q14" s="1484"/>
      <c r="R14" s="1484"/>
      <c r="S14" s="1484"/>
    </row>
    <row r="15" spans="1:19" s="458" customFormat="1" ht="4.1500000000000004" customHeight="1">
      <c r="D15" s="510"/>
      <c r="E15" s="511"/>
      <c r="H15" s="1485"/>
      <c r="I15" s="1485"/>
      <c r="J15" s="1485"/>
      <c r="K15" s="717"/>
      <c r="L15" s="1485"/>
      <c r="M15" s="1485"/>
      <c r="N15" s="717"/>
      <c r="O15" s="1486"/>
      <c r="P15" s="1486"/>
      <c r="Q15" s="719"/>
      <c r="R15" s="1486"/>
      <c r="S15" s="1486"/>
    </row>
    <row r="16" spans="1:19" s="458" customFormat="1" ht="12.6" customHeight="1">
      <c r="D16" s="461" t="s">
        <v>3213</v>
      </c>
      <c r="E16" s="458" t="s">
        <v>2911</v>
      </c>
      <c r="H16" s="1442" t="s">
        <v>3938</v>
      </c>
      <c r="I16" s="1190"/>
      <c r="J16" s="1190"/>
      <c r="K16" s="1190"/>
      <c r="L16" s="1190"/>
      <c r="M16" s="1190"/>
      <c r="N16" s="1191"/>
      <c r="O16" s="714" t="s">
        <v>3067</v>
      </c>
      <c r="P16" s="714"/>
      <c r="Q16" s="1442" t="s">
        <v>3920</v>
      </c>
      <c r="R16" s="1190"/>
      <c r="S16" s="1191"/>
    </row>
    <row r="17" spans="4:19" s="458" customFormat="1" ht="12.6" customHeight="1">
      <c r="D17" s="508"/>
      <c r="E17" s="464" t="s">
        <v>1642</v>
      </c>
      <c r="F17" s="472"/>
      <c r="H17" s="1442" t="s">
        <v>3922</v>
      </c>
      <c r="I17" s="1190"/>
      <c r="J17" s="1190"/>
      <c r="K17" s="1190"/>
      <c r="L17" s="1190"/>
      <c r="M17" s="1190"/>
      <c r="N17" s="1191"/>
      <c r="O17" s="714" t="s">
        <v>2776</v>
      </c>
      <c r="Q17" s="1442" t="s">
        <v>3939</v>
      </c>
      <c r="R17" s="1190"/>
      <c r="S17" s="1191"/>
    </row>
    <row r="18" spans="4:19" s="458" customFormat="1" ht="12.6" customHeight="1">
      <c r="D18" s="508"/>
      <c r="E18" s="464" t="s">
        <v>954</v>
      </c>
      <c r="H18" s="1442" t="s">
        <v>3923</v>
      </c>
      <c r="I18" s="1190"/>
      <c r="J18" s="1191"/>
      <c r="O18" s="714" t="s">
        <v>2835</v>
      </c>
      <c r="Q18" s="1473"/>
      <c r="R18" s="1474"/>
      <c r="S18" s="1475"/>
    </row>
    <row r="19" spans="4:19" s="458" customFormat="1" ht="12.6" customHeight="1">
      <c r="D19" s="461"/>
      <c r="E19" s="464" t="s">
        <v>2831</v>
      </c>
      <c r="H19" s="1439" t="s">
        <v>1429</v>
      </c>
      <c r="I19" s="719" t="s">
        <v>1974</v>
      </c>
      <c r="J19" s="1476">
        <v>356303731</v>
      </c>
      <c r="K19" s="1191"/>
      <c r="L19" s="398" t="s">
        <v>1977</v>
      </c>
      <c r="N19" s="1477" t="s">
        <v>3937</v>
      </c>
      <c r="O19" s="714" t="s">
        <v>3056</v>
      </c>
      <c r="Q19" s="1473">
        <v>2563354030</v>
      </c>
      <c r="R19" s="1474"/>
      <c r="S19" s="1475"/>
    </row>
    <row r="20" spans="4:19" s="458" customFormat="1" ht="12.6" customHeight="1">
      <c r="D20" s="508"/>
      <c r="E20" s="464" t="s">
        <v>3062</v>
      </c>
      <c r="H20" s="1473">
        <v>2567609657</v>
      </c>
      <c r="I20" s="1475"/>
      <c r="J20" s="1478"/>
      <c r="K20" s="719" t="s">
        <v>2834</v>
      </c>
      <c r="L20" s="1479">
        <v>2567675804</v>
      </c>
      <c r="M20" s="1191"/>
      <c r="N20" s="466" t="s">
        <v>3061</v>
      </c>
      <c r="O20" s="1480" t="s">
        <v>3924</v>
      </c>
      <c r="P20" s="1481"/>
      <c r="Q20" s="1481"/>
      <c r="R20" s="1481"/>
      <c r="S20" s="1482"/>
    </row>
    <row r="21" spans="4:19" ht="4.1500000000000004" customHeight="1">
      <c r="D21" s="491"/>
      <c r="H21" s="1487"/>
      <c r="I21" s="1487"/>
      <c r="J21" s="1487"/>
      <c r="K21" s="719"/>
      <c r="L21" s="1487"/>
      <c r="M21" s="1487"/>
      <c r="N21" s="717"/>
      <c r="O21" s="1486"/>
      <c r="P21" s="1486"/>
      <c r="Q21" s="719"/>
      <c r="R21" s="1486"/>
      <c r="S21" s="1486"/>
    </row>
    <row r="22" spans="4:19" s="458" customFormat="1" ht="12.6" customHeight="1">
      <c r="D22" s="461" t="s">
        <v>3214</v>
      </c>
      <c r="E22" s="458" t="s">
        <v>2912</v>
      </c>
      <c r="F22" s="721"/>
      <c r="H22" s="1442"/>
      <c r="I22" s="1190"/>
      <c r="J22" s="1190"/>
      <c r="K22" s="1190"/>
      <c r="L22" s="1190"/>
      <c r="M22" s="1190"/>
      <c r="N22" s="1191"/>
      <c r="O22" s="714" t="s">
        <v>3067</v>
      </c>
      <c r="P22" s="714"/>
      <c r="Q22" s="1442"/>
      <c r="R22" s="1190"/>
      <c r="S22" s="1191"/>
    </row>
    <row r="23" spans="4:19" s="458" customFormat="1" ht="12.6" customHeight="1">
      <c r="D23" s="508"/>
      <c r="E23" s="464" t="s">
        <v>1642</v>
      </c>
      <c r="F23" s="472"/>
      <c r="H23" s="1442"/>
      <c r="I23" s="1190"/>
      <c r="J23" s="1190"/>
      <c r="K23" s="1190"/>
      <c r="L23" s="1190"/>
      <c r="M23" s="1190"/>
      <c r="N23" s="1191"/>
      <c r="O23" s="714" t="s">
        <v>2776</v>
      </c>
      <c r="Q23" s="1442"/>
      <c r="R23" s="1190"/>
      <c r="S23" s="1191"/>
    </row>
    <row r="24" spans="4:19" s="458" customFormat="1" ht="12.6" customHeight="1">
      <c r="D24" s="508"/>
      <c r="E24" s="464" t="s">
        <v>954</v>
      </c>
      <c r="H24" s="1442"/>
      <c r="I24" s="1190"/>
      <c r="J24" s="1191"/>
      <c r="O24" s="714" t="s">
        <v>2835</v>
      </c>
      <c r="Q24" s="1473"/>
      <c r="R24" s="1474"/>
      <c r="S24" s="1475"/>
    </row>
    <row r="25" spans="4:19" s="458" customFormat="1" ht="12.6" customHeight="1">
      <c r="E25" s="464" t="s">
        <v>2831</v>
      </c>
      <c r="H25" s="1439"/>
      <c r="I25" s="493" t="s">
        <v>3354</v>
      </c>
      <c r="J25" s="1476"/>
      <c r="K25" s="1191"/>
      <c r="O25" s="714" t="s">
        <v>3056</v>
      </c>
      <c r="Q25" s="1473"/>
      <c r="R25" s="1474"/>
      <c r="S25" s="1475"/>
    </row>
    <row r="26" spans="4:19" s="458" customFormat="1" ht="12.6" customHeight="1">
      <c r="D26" s="508"/>
      <c r="E26" s="464" t="s">
        <v>3062</v>
      </c>
      <c r="H26" s="1473"/>
      <c r="I26" s="1475"/>
      <c r="J26" s="1478"/>
      <c r="K26" s="719" t="s">
        <v>2834</v>
      </c>
      <c r="L26" s="1479"/>
      <c r="M26" s="1191"/>
      <c r="N26" s="466" t="s">
        <v>3061</v>
      </c>
      <c r="O26" s="1480"/>
      <c r="P26" s="1481"/>
      <c r="Q26" s="1481"/>
      <c r="R26" s="1481"/>
      <c r="S26" s="1482"/>
    </row>
    <row r="27" spans="4:19" s="458" customFormat="1" ht="4.1500000000000004" customHeight="1">
      <c r="D27" s="508"/>
      <c r="E27" s="721"/>
      <c r="F27" s="721"/>
      <c r="G27" s="714"/>
      <c r="H27" s="1487"/>
      <c r="I27" s="1487"/>
      <c r="J27" s="1487"/>
      <c r="K27" s="719"/>
      <c r="L27" s="1487"/>
      <c r="M27" s="1487"/>
      <c r="N27" s="717"/>
      <c r="O27" s="1486"/>
      <c r="P27" s="1486"/>
      <c r="Q27" s="719"/>
      <c r="R27" s="1486"/>
      <c r="S27" s="1486"/>
    </row>
    <row r="28" spans="4:19" s="458" customFormat="1" ht="12.6" customHeight="1">
      <c r="D28" s="461" t="s">
        <v>2762</v>
      </c>
      <c r="E28" s="458" t="s">
        <v>2912</v>
      </c>
      <c r="F28" s="721"/>
      <c r="H28" s="1442"/>
      <c r="I28" s="1190"/>
      <c r="J28" s="1190"/>
      <c r="K28" s="1190"/>
      <c r="L28" s="1190"/>
      <c r="M28" s="1190"/>
      <c r="N28" s="1191"/>
      <c r="O28" s="714" t="s">
        <v>3067</v>
      </c>
      <c r="P28" s="714"/>
      <c r="Q28" s="1442"/>
      <c r="R28" s="1190"/>
      <c r="S28" s="1191"/>
    </row>
    <row r="29" spans="4:19" s="458" customFormat="1" ht="12.6" customHeight="1">
      <c r="D29" s="508"/>
      <c r="E29" s="464" t="s">
        <v>1642</v>
      </c>
      <c r="F29" s="472"/>
      <c r="H29" s="1442"/>
      <c r="I29" s="1190"/>
      <c r="J29" s="1190"/>
      <c r="K29" s="1190"/>
      <c r="L29" s="1190"/>
      <c r="M29" s="1190"/>
      <c r="N29" s="1191"/>
      <c r="O29" s="714" t="s">
        <v>2776</v>
      </c>
      <c r="Q29" s="1442"/>
      <c r="R29" s="1190"/>
      <c r="S29" s="1191"/>
    </row>
    <row r="30" spans="4:19" s="458" customFormat="1" ht="12.6" customHeight="1">
      <c r="D30" s="508"/>
      <c r="E30" s="464" t="s">
        <v>954</v>
      </c>
      <c r="H30" s="1442"/>
      <c r="I30" s="1190"/>
      <c r="J30" s="1191"/>
      <c r="O30" s="714" t="s">
        <v>2835</v>
      </c>
      <c r="Q30" s="1473"/>
      <c r="R30" s="1474"/>
      <c r="S30" s="1475"/>
    </row>
    <row r="31" spans="4:19" s="458" customFormat="1" ht="12.6" customHeight="1">
      <c r="E31" s="464" t="s">
        <v>2831</v>
      </c>
      <c r="H31" s="1439"/>
      <c r="I31" s="493" t="s">
        <v>3354</v>
      </c>
      <c r="J31" s="1476"/>
      <c r="K31" s="1191"/>
      <c r="O31" s="714" t="s">
        <v>3056</v>
      </c>
      <c r="Q31" s="1473"/>
      <c r="R31" s="1474"/>
      <c r="S31" s="1475"/>
    </row>
    <row r="32" spans="4:19" s="458" customFormat="1" ht="12.6" customHeight="1">
      <c r="D32" s="508"/>
      <c r="E32" s="464" t="s">
        <v>3062</v>
      </c>
      <c r="H32" s="1473"/>
      <c r="I32" s="1475"/>
      <c r="J32" s="1478"/>
      <c r="K32" s="719" t="s">
        <v>2834</v>
      </c>
      <c r="L32" s="1479"/>
      <c r="M32" s="1191"/>
      <c r="N32" s="466" t="s">
        <v>3061</v>
      </c>
      <c r="O32" s="1480"/>
      <c r="P32" s="1481"/>
      <c r="Q32" s="1481"/>
      <c r="R32" s="1481"/>
      <c r="S32" s="1482"/>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5"/>
      <c r="I35" s="1485"/>
      <c r="J35" s="1485"/>
      <c r="K35" s="717"/>
      <c r="L35" s="1485"/>
      <c r="M35" s="1485"/>
      <c r="N35" s="717"/>
      <c r="O35" s="1486"/>
      <c r="P35" s="1486"/>
      <c r="Q35" s="719"/>
      <c r="R35" s="1486"/>
      <c r="S35" s="1486"/>
    </row>
    <row r="36" spans="3:19" s="458" customFormat="1" ht="12.6" customHeight="1">
      <c r="D36" s="461" t="s">
        <v>3213</v>
      </c>
      <c r="E36" s="458" t="s">
        <v>1240</v>
      </c>
      <c r="H36" s="1442" t="s">
        <v>4006</v>
      </c>
      <c r="I36" s="1190"/>
      <c r="J36" s="1190"/>
      <c r="K36" s="1190"/>
      <c r="L36" s="1190"/>
      <c r="M36" s="1190"/>
      <c r="N36" s="1191"/>
      <c r="O36" s="714" t="s">
        <v>3067</v>
      </c>
      <c r="P36" s="714"/>
      <c r="Q36" s="1442" t="s">
        <v>4008</v>
      </c>
      <c r="R36" s="1190"/>
      <c r="S36" s="1191"/>
    </row>
    <row r="37" spans="3:19" s="458" customFormat="1" ht="12.6" customHeight="1">
      <c r="D37" s="508"/>
      <c r="E37" s="464" t="s">
        <v>1642</v>
      </c>
      <c r="F37" s="472"/>
      <c r="H37" s="1442" t="s">
        <v>4007</v>
      </c>
      <c r="I37" s="1190"/>
      <c r="J37" s="1190"/>
      <c r="K37" s="1190"/>
      <c r="L37" s="1190"/>
      <c r="M37" s="1190"/>
      <c r="N37" s="1191"/>
      <c r="O37" s="714" t="s">
        <v>2776</v>
      </c>
      <c r="Q37" s="1442" t="s">
        <v>4011</v>
      </c>
      <c r="R37" s="1190"/>
      <c r="S37" s="1191"/>
    </row>
    <row r="38" spans="3:19" s="458" customFormat="1" ht="12.6" customHeight="1">
      <c r="D38" s="508"/>
      <c r="E38" s="464" t="s">
        <v>954</v>
      </c>
      <c r="H38" s="1442" t="s">
        <v>4009</v>
      </c>
      <c r="I38" s="1190"/>
      <c r="J38" s="1191"/>
      <c r="O38" s="714" t="s">
        <v>2835</v>
      </c>
      <c r="Q38" s="1473">
        <v>2058030331</v>
      </c>
      <c r="R38" s="1474"/>
      <c r="S38" s="1475"/>
    </row>
    <row r="39" spans="3:19" s="458" customFormat="1" ht="12.6" customHeight="1">
      <c r="E39" s="464" t="s">
        <v>2831</v>
      </c>
      <c r="H39" s="1439" t="s">
        <v>1438</v>
      </c>
      <c r="I39" s="493" t="s">
        <v>3354</v>
      </c>
      <c r="J39" s="1476">
        <v>337161102</v>
      </c>
      <c r="K39" s="1191"/>
      <c r="O39" s="714" t="s">
        <v>3056</v>
      </c>
      <c r="Q39" s="1473">
        <v>2055163099</v>
      </c>
      <c r="R39" s="1474"/>
      <c r="S39" s="1475"/>
    </row>
    <row r="40" spans="3:19" s="458" customFormat="1" ht="12.6" customHeight="1">
      <c r="D40" s="508"/>
      <c r="E40" s="464" t="s">
        <v>3062</v>
      </c>
      <c r="H40" s="1473">
        <v>2058030331</v>
      </c>
      <c r="I40" s="1475"/>
      <c r="J40" s="1478"/>
      <c r="K40" s="719" t="s">
        <v>2834</v>
      </c>
      <c r="L40" s="1479">
        <v>2058030321</v>
      </c>
      <c r="M40" s="1191"/>
      <c r="N40" s="466" t="s">
        <v>3061</v>
      </c>
      <c r="O40" s="1480" t="s">
        <v>4010</v>
      </c>
      <c r="P40" s="1481"/>
      <c r="Q40" s="1481"/>
      <c r="R40" s="1481"/>
      <c r="S40" s="1482"/>
    </row>
    <row r="41" spans="3:19" ht="4.1500000000000004" customHeight="1">
      <c r="H41" s="1487"/>
      <c r="I41" s="1487"/>
      <c r="J41" s="1487"/>
      <c r="K41" s="719"/>
      <c r="L41" s="1487"/>
      <c r="M41" s="1487"/>
      <c r="N41" s="717"/>
      <c r="O41" s="1486"/>
      <c r="P41" s="1486"/>
      <c r="Q41" s="719"/>
      <c r="R41" s="1486"/>
      <c r="S41" s="1486"/>
    </row>
    <row r="42" spans="3:19" s="458" customFormat="1" ht="12.6" customHeight="1">
      <c r="D42" s="461" t="s">
        <v>3214</v>
      </c>
      <c r="E42" s="458" t="s">
        <v>1241</v>
      </c>
      <c r="F42" s="461"/>
      <c r="H42" s="1442" t="s">
        <v>4006</v>
      </c>
      <c r="I42" s="1190"/>
      <c r="J42" s="1190"/>
      <c r="K42" s="1190"/>
      <c r="L42" s="1190"/>
      <c r="M42" s="1190"/>
      <c r="N42" s="1191"/>
      <c r="O42" s="714" t="s">
        <v>3067</v>
      </c>
      <c r="P42" s="714"/>
      <c r="Q42" s="1442" t="s">
        <v>4008</v>
      </c>
      <c r="R42" s="1190"/>
      <c r="S42" s="1191"/>
    </row>
    <row r="43" spans="3:19" s="458" customFormat="1" ht="12.6" customHeight="1">
      <c r="D43" s="508"/>
      <c r="E43" s="464" t="s">
        <v>1642</v>
      </c>
      <c r="F43" s="472"/>
      <c r="H43" s="1442" t="s">
        <v>4007</v>
      </c>
      <c r="I43" s="1190"/>
      <c r="J43" s="1190"/>
      <c r="K43" s="1190"/>
      <c r="L43" s="1190"/>
      <c r="M43" s="1190"/>
      <c r="N43" s="1191"/>
      <c r="O43" s="714" t="s">
        <v>2776</v>
      </c>
      <c r="Q43" s="1442" t="s">
        <v>3940</v>
      </c>
      <c r="R43" s="1190"/>
      <c r="S43" s="1191"/>
    </row>
    <row r="44" spans="3:19" s="458" customFormat="1" ht="12.6" customHeight="1">
      <c r="D44" s="508"/>
      <c r="E44" s="464" t="s">
        <v>954</v>
      </c>
      <c r="H44" s="1442" t="s">
        <v>4009</v>
      </c>
      <c r="I44" s="1190"/>
      <c r="J44" s="1191"/>
      <c r="O44" s="714" t="s">
        <v>2835</v>
      </c>
      <c r="Q44" s="1473">
        <v>2058030331</v>
      </c>
      <c r="R44" s="1474"/>
      <c r="S44" s="1475"/>
    </row>
    <row r="45" spans="3:19" s="458" customFormat="1" ht="12.6" customHeight="1">
      <c r="D45" s="461"/>
      <c r="E45" s="464" t="s">
        <v>2831</v>
      </c>
      <c r="H45" s="1439" t="s">
        <v>1438</v>
      </c>
      <c r="I45" s="493" t="s">
        <v>3354</v>
      </c>
      <c r="J45" s="1476">
        <v>337161102</v>
      </c>
      <c r="K45" s="1191"/>
      <c r="O45" s="714" t="s">
        <v>3056</v>
      </c>
      <c r="Q45" s="1473">
        <v>2055163099</v>
      </c>
      <c r="R45" s="1474"/>
      <c r="S45" s="1475"/>
    </row>
    <row r="46" spans="3:19" s="458" customFormat="1" ht="12.6" customHeight="1">
      <c r="D46" s="508"/>
      <c r="E46" s="464" t="s">
        <v>3062</v>
      </c>
      <c r="H46" s="1473">
        <v>2058030331</v>
      </c>
      <c r="I46" s="1475"/>
      <c r="J46" s="1478"/>
      <c r="K46" s="719" t="s">
        <v>2834</v>
      </c>
      <c r="L46" s="1479">
        <v>2058030321</v>
      </c>
      <c r="M46" s="1191"/>
      <c r="N46" s="466" t="s">
        <v>3061</v>
      </c>
      <c r="O46" s="1480" t="s">
        <v>4010</v>
      </c>
      <c r="P46" s="1481"/>
      <c r="Q46" s="1481"/>
      <c r="R46" s="1481"/>
      <c r="S46" s="1482"/>
    </row>
    <row r="47" spans="3:19" s="458" customFormat="1" ht="4.1500000000000004" customHeight="1">
      <c r="D47" s="508"/>
      <c r="E47" s="464"/>
      <c r="F47" s="461"/>
      <c r="H47" s="501"/>
      <c r="I47" s="501"/>
      <c r="J47" s="1488"/>
      <c r="K47" s="719"/>
      <c r="L47" s="501"/>
      <c r="M47" s="501"/>
      <c r="N47" s="719"/>
      <c r="O47" s="501"/>
      <c r="P47" s="501"/>
      <c r="Q47" s="719"/>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5"/>
      <c r="I49" s="1485"/>
      <c r="J49" s="1485"/>
      <c r="K49" s="717"/>
      <c r="L49" s="1485"/>
      <c r="M49" s="1485"/>
      <c r="N49" s="717"/>
      <c r="O49" s="1486"/>
      <c r="P49" s="1486"/>
      <c r="Q49" s="719"/>
      <c r="R49" s="1486"/>
      <c r="S49" s="1486"/>
    </row>
    <row r="50" spans="1:19" s="458" customFormat="1" ht="12.6" customHeight="1">
      <c r="E50" s="458" t="s">
        <v>103</v>
      </c>
      <c r="H50" s="1442"/>
      <c r="I50" s="1190"/>
      <c r="J50" s="1190"/>
      <c r="K50" s="1190"/>
      <c r="L50" s="1190"/>
      <c r="M50" s="1190"/>
      <c r="N50" s="1191"/>
      <c r="O50" s="714" t="s">
        <v>3067</v>
      </c>
      <c r="P50" s="714"/>
      <c r="Q50" s="1442"/>
      <c r="R50" s="1190"/>
      <c r="S50" s="1191"/>
    </row>
    <row r="51" spans="1:19" s="458" customFormat="1" ht="12.6" customHeight="1">
      <c r="D51" s="508"/>
      <c r="E51" s="464" t="s">
        <v>1642</v>
      </c>
      <c r="F51" s="472"/>
      <c r="H51" s="1442"/>
      <c r="I51" s="1190"/>
      <c r="J51" s="1190"/>
      <c r="K51" s="1190"/>
      <c r="L51" s="1190"/>
      <c r="M51" s="1190"/>
      <c r="N51" s="1191"/>
      <c r="O51" s="714" t="s">
        <v>2776</v>
      </c>
      <c r="Q51" s="1442"/>
      <c r="R51" s="1190"/>
      <c r="S51" s="1191"/>
    </row>
    <row r="52" spans="1:19" s="458" customFormat="1" ht="12.6" customHeight="1">
      <c r="D52" s="508"/>
      <c r="E52" s="464" t="s">
        <v>954</v>
      </c>
      <c r="H52" s="1442"/>
      <c r="I52" s="1190"/>
      <c r="J52" s="1191"/>
      <c r="O52" s="714" t="s">
        <v>2835</v>
      </c>
      <c r="Q52" s="1473"/>
      <c r="R52" s="1474"/>
      <c r="S52" s="1475"/>
    </row>
    <row r="53" spans="1:19" s="458" customFormat="1" ht="12.6" customHeight="1">
      <c r="E53" s="464" t="s">
        <v>2831</v>
      </c>
      <c r="H53" s="1439"/>
      <c r="I53" s="493" t="s">
        <v>3354</v>
      </c>
      <c r="J53" s="1476"/>
      <c r="K53" s="1191"/>
      <c r="O53" s="714" t="s">
        <v>3056</v>
      </c>
      <c r="Q53" s="1473"/>
      <c r="R53" s="1474"/>
      <c r="S53" s="1475"/>
    </row>
    <row r="54" spans="1:19" s="458" customFormat="1" ht="12.6" customHeight="1">
      <c r="D54" s="508"/>
      <c r="E54" s="464" t="s">
        <v>3062</v>
      </c>
      <c r="H54" s="1473"/>
      <c r="I54" s="1475"/>
      <c r="J54" s="1478"/>
      <c r="K54" s="719" t="s">
        <v>2834</v>
      </c>
      <c r="L54" s="1479"/>
      <c r="M54" s="1191"/>
      <c r="N54" s="466" t="s">
        <v>3061</v>
      </c>
      <c r="O54" s="1480"/>
      <c r="P54" s="1481"/>
      <c r="Q54" s="1481"/>
      <c r="R54" s="1481"/>
      <c r="S54" s="1482"/>
    </row>
    <row r="55" spans="1:19" ht="13.15" customHeight="1"/>
    <row r="56" spans="1:19" s="458" customFormat="1" ht="13.15" customHeight="1">
      <c r="A56" s="461" t="s">
        <v>1230</v>
      </c>
      <c r="B56" s="461" t="s">
        <v>996</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5"/>
      <c r="I57" s="1485"/>
      <c r="J57" s="1485"/>
      <c r="K57" s="717"/>
      <c r="L57" s="1485"/>
      <c r="M57" s="1485"/>
      <c r="N57" s="717"/>
      <c r="O57" s="1486"/>
      <c r="P57" s="1486"/>
      <c r="Q57" s="719"/>
      <c r="R57" s="1486"/>
      <c r="S57" s="1486"/>
    </row>
    <row r="58" spans="1:19" s="458" customFormat="1" ht="13.15" customHeight="1">
      <c r="B58" s="461" t="s">
        <v>3060</v>
      </c>
      <c r="C58" s="461" t="s">
        <v>376</v>
      </c>
      <c r="H58" s="1442" t="s">
        <v>3941</v>
      </c>
      <c r="I58" s="1190"/>
      <c r="J58" s="1190"/>
      <c r="K58" s="1190"/>
      <c r="L58" s="1190"/>
      <c r="M58" s="1190"/>
      <c r="N58" s="1191"/>
      <c r="O58" s="714" t="s">
        <v>3067</v>
      </c>
      <c r="P58" s="714"/>
      <c r="Q58" s="1442" t="s">
        <v>3920</v>
      </c>
      <c r="R58" s="1190"/>
      <c r="S58" s="1191"/>
    </row>
    <row r="59" spans="1:19" s="458" customFormat="1" ht="13.15" customHeight="1">
      <c r="D59" s="508"/>
      <c r="E59" s="464" t="s">
        <v>1642</v>
      </c>
      <c r="F59" s="472"/>
      <c r="H59" s="1442" t="s">
        <v>3922</v>
      </c>
      <c r="I59" s="1190"/>
      <c r="J59" s="1190"/>
      <c r="K59" s="1190"/>
      <c r="L59" s="1190"/>
      <c r="M59" s="1190"/>
      <c r="N59" s="1191"/>
      <c r="O59" s="714" t="s">
        <v>2776</v>
      </c>
      <c r="Q59" s="1442" t="s">
        <v>4018</v>
      </c>
      <c r="R59" s="1190"/>
      <c r="S59" s="1191"/>
    </row>
    <row r="60" spans="1:19" s="458" customFormat="1" ht="13.15" customHeight="1">
      <c r="D60" s="508"/>
      <c r="E60" s="464" t="s">
        <v>954</v>
      </c>
      <c r="H60" s="1442" t="s">
        <v>3923</v>
      </c>
      <c r="I60" s="1190"/>
      <c r="J60" s="1191"/>
      <c r="O60" s="714" t="s">
        <v>2835</v>
      </c>
      <c r="Q60" s="1473"/>
      <c r="R60" s="1474"/>
      <c r="S60" s="1475"/>
    </row>
    <row r="61" spans="1:19" s="458" customFormat="1" ht="13.15" customHeight="1">
      <c r="E61" s="464" t="s">
        <v>2831</v>
      </c>
      <c r="H61" s="1439" t="s">
        <v>1429</v>
      </c>
      <c r="I61" s="493" t="s">
        <v>3354</v>
      </c>
      <c r="J61" s="1476">
        <v>356303731</v>
      </c>
      <c r="K61" s="1191"/>
      <c r="O61" s="714" t="s">
        <v>3056</v>
      </c>
      <c r="Q61" s="1473">
        <v>2563354030</v>
      </c>
      <c r="R61" s="1474"/>
      <c r="S61" s="1475"/>
    </row>
    <row r="62" spans="1:19" s="458" customFormat="1" ht="13.15" customHeight="1">
      <c r="D62" s="508"/>
      <c r="E62" s="464" t="s">
        <v>3062</v>
      </c>
      <c r="H62" s="1473">
        <v>2567609657</v>
      </c>
      <c r="I62" s="1475"/>
      <c r="J62" s="1478"/>
      <c r="K62" s="719" t="s">
        <v>2834</v>
      </c>
      <c r="L62" s="1479">
        <v>2567675804</v>
      </c>
      <c r="M62" s="1191"/>
      <c r="N62" s="466" t="s">
        <v>3061</v>
      </c>
      <c r="O62" s="1480" t="s">
        <v>3924</v>
      </c>
      <c r="P62" s="1481"/>
      <c r="Q62" s="1481"/>
      <c r="R62" s="1481"/>
      <c r="S62" s="1482"/>
    </row>
    <row r="63" spans="1:19" s="458" customFormat="1" ht="6.6" customHeight="1">
      <c r="D63" s="508"/>
      <c r="E63" s="721"/>
      <c r="F63" s="721"/>
      <c r="G63" s="714"/>
      <c r="H63" s="1487"/>
      <c r="I63" s="1487"/>
      <c r="J63" s="1487"/>
      <c r="K63" s="719"/>
      <c r="L63" s="1487"/>
      <c r="M63" s="1487"/>
      <c r="N63" s="717"/>
      <c r="O63" s="1486"/>
      <c r="P63" s="1486"/>
      <c r="Q63" s="719"/>
      <c r="R63" s="1486"/>
      <c r="S63" s="1486"/>
    </row>
    <row r="64" spans="1:19" s="458" customFormat="1" ht="13.15" customHeight="1">
      <c r="B64" s="461" t="s">
        <v>3063</v>
      </c>
      <c r="C64" s="461" t="s">
        <v>377</v>
      </c>
      <c r="H64" s="1442" t="s">
        <v>3942</v>
      </c>
      <c r="I64" s="1190"/>
      <c r="J64" s="1190"/>
      <c r="K64" s="1190"/>
      <c r="L64" s="1190"/>
      <c r="M64" s="1190"/>
      <c r="N64" s="1191"/>
      <c r="O64" s="714" t="s">
        <v>3067</v>
      </c>
      <c r="P64" s="714"/>
      <c r="Q64" s="1442" t="s">
        <v>3920</v>
      </c>
      <c r="R64" s="1190"/>
      <c r="S64" s="1191"/>
    </row>
    <row r="65" spans="2:19" s="458" customFormat="1" ht="13.15" customHeight="1">
      <c r="D65" s="508"/>
      <c r="E65" s="464" t="s">
        <v>1642</v>
      </c>
      <c r="F65" s="472"/>
      <c r="H65" s="1442" t="s">
        <v>3922</v>
      </c>
      <c r="I65" s="1190"/>
      <c r="J65" s="1190"/>
      <c r="K65" s="1190"/>
      <c r="L65" s="1190"/>
      <c r="M65" s="1190"/>
      <c r="N65" s="1191"/>
      <c r="O65" s="714" t="s">
        <v>2776</v>
      </c>
      <c r="Q65" s="1442" t="s">
        <v>3943</v>
      </c>
      <c r="R65" s="1190"/>
      <c r="S65" s="1191"/>
    </row>
    <row r="66" spans="2:19" s="458" customFormat="1" ht="13.15" customHeight="1">
      <c r="D66" s="508"/>
      <c r="E66" s="464" t="s">
        <v>954</v>
      </c>
      <c r="H66" s="1442" t="s">
        <v>3923</v>
      </c>
      <c r="I66" s="1190"/>
      <c r="J66" s="1191"/>
      <c r="O66" s="714" t="s">
        <v>2835</v>
      </c>
      <c r="Q66" s="1473"/>
      <c r="R66" s="1474"/>
      <c r="S66" s="1475"/>
    </row>
    <row r="67" spans="2:19" s="458" customFormat="1" ht="13.15" customHeight="1">
      <c r="E67" s="464" t="s">
        <v>2831</v>
      </c>
      <c r="H67" s="1439" t="s">
        <v>1429</v>
      </c>
      <c r="I67" s="493" t="s">
        <v>3354</v>
      </c>
      <c r="J67" s="1476">
        <v>256303731</v>
      </c>
      <c r="K67" s="1191"/>
      <c r="O67" s="714" t="s">
        <v>3056</v>
      </c>
      <c r="Q67" s="1473">
        <v>2563354030</v>
      </c>
      <c r="R67" s="1474"/>
      <c r="S67" s="1475"/>
    </row>
    <row r="68" spans="2:19" s="458" customFormat="1" ht="13.15" customHeight="1">
      <c r="D68" s="508"/>
      <c r="E68" s="464" t="s">
        <v>3062</v>
      </c>
      <c r="H68" s="1473">
        <v>2567609657</v>
      </c>
      <c r="I68" s="1475"/>
      <c r="J68" s="1478"/>
      <c r="K68" s="719" t="s">
        <v>2834</v>
      </c>
      <c r="L68" s="1479">
        <v>2567675804</v>
      </c>
      <c r="M68" s="1191"/>
      <c r="N68" s="466" t="s">
        <v>3061</v>
      </c>
      <c r="O68" s="1480" t="s">
        <v>3924</v>
      </c>
      <c r="P68" s="1481"/>
      <c r="Q68" s="1481"/>
      <c r="R68" s="1481"/>
      <c r="S68" s="1482"/>
    </row>
    <row r="69" spans="2:19" s="458" customFormat="1" ht="6.6" customHeight="1">
      <c r="D69" s="508"/>
      <c r="E69" s="721"/>
      <c r="F69" s="721"/>
      <c r="G69" s="714"/>
      <c r="H69" s="1487"/>
      <c r="I69" s="1487"/>
      <c r="J69" s="1487"/>
      <c r="K69" s="719"/>
      <c r="L69" s="1487"/>
      <c r="M69" s="1487"/>
      <c r="N69" s="717"/>
      <c r="O69" s="1486"/>
      <c r="P69" s="1486"/>
      <c r="Q69" s="719"/>
      <c r="R69" s="1486"/>
      <c r="S69" s="1486"/>
    </row>
    <row r="70" spans="2:19" s="458" customFormat="1" ht="13.15" customHeight="1">
      <c r="B70" s="461" t="s">
        <v>1239</v>
      </c>
      <c r="C70" s="461" t="s">
        <v>2280</v>
      </c>
      <c r="H70" s="1442"/>
      <c r="I70" s="1190"/>
      <c r="J70" s="1190"/>
      <c r="K70" s="1190"/>
      <c r="L70" s="1190"/>
      <c r="M70" s="1190"/>
      <c r="N70" s="1191"/>
      <c r="O70" s="714" t="s">
        <v>3067</v>
      </c>
      <c r="P70" s="714"/>
      <c r="Q70" s="1442"/>
      <c r="R70" s="1190"/>
      <c r="S70" s="1191"/>
    </row>
    <row r="71" spans="2:19" s="458" customFormat="1" ht="13.15" customHeight="1">
      <c r="D71" s="508"/>
      <c r="E71" s="464" t="s">
        <v>1642</v>
      </c>
      <c r="F71" s="472"/>
      <c r="H71" s="1442"/>
      <c r="I71" s="1190"/>
      <c r="J71" s="1190"/>
      <c r="K71" s="1190"/>
      <c r="L71" s="1190"/>
      <c r="M71" s="1190"/>
      <c r="N71" s="1191"/>
      <c r="O71" s="714" t="s">
        <v>2776</v>
      </c>
      <c r="Q71" s="1442"/>
      <c r="R71" s="1190"/>
      <c r="S71" s="1191"/>
    </row>
    <row r="72" spans="2:19" s="458" customFormat="1" ht="13.15" customHeight="1">
      <c r="D72" s="508"/>
      <c r="E72" s="464" t="s">
        <v>954</v>
      </c>
      <c r="H72" s="1442"/>
      <c r="I72" s="1190"/>
      <c r="J72" s="1191"/>
      <c r="O72" s="714" t="s">
        <v>2835</v>
      </c>
      <c r="Q72" s="1473"/>
      <c r="R72" s="1474"/>
      <c r="S72" s="1475"/>
    </row>
    <row r="73" spans="2:19" s="458" customFormat="1" ht="13.15" customHeight="1">
      <c r="E73" s="464" t="s">
        <v>2831</v>
      </c>
      <c r="H73" s="1439"/>
      <c r="I73" s="493" t="s">
        <v>3354</v>
      </c>
      <c r="J73" s="1476"/>
      <c r="K73" s="1191"/>
      <c r="O73" s="714" t="s">
        <v>3056</v>
      </c>
      <c r="Q73" s="1473"/>
      <c r="R73" s="1474"/>
      <c r="S73" s="1475"/>
    </row>
    <row r="74" spans="2:19" s="458" customFormat="1" ht="13.15" customHeight="1">
      <c r="D74" s="508"/>
      <c r="E74" s="464" t="s">
        <v>3062</v>
      </c>
      <c r="H74" s="1473"/>
      <c r="I74" s="1475"/>
      <c r="J74" s="1478"/>
      <c r="K74" s="719" t="s">
        <v>2834</v>
      </c>
      <c r="L74" s="1479"/>
      <c r="M74" s="1191"/>
      <c r="N74" s="466" t="s">
        <v>3061</v>
      </c>
      <c r="O74" s="1480"/>
      <c r="P74" s="1481"/>
      <c r="Q74" s="1481"/>
      <c r="R74" s="1481"/>
      <c r="S74" s="1482"/>
    </row>
    <row r="75" spans="2:19" ht="6.6" customHeight="1">
      <c r="H75" s="1487"/>
      <c r="I75" s="1487"/>
      <c r="J75" s="1487"/>
      <c r="K75" s="719"/>
      <c r="L75" s="1487"/>
      <c r="M75" s="1487"/>
      <c r="N75" s="717"/>
      <c r="O75" s="1486"/>
      <c r="P75" s="1486"/>
      <c r="Q75" s="719"/>
      <c r="R75" s="1486"/>
      <c r="S75" s="1486"/>
    </row>
    <row r="76" spans="2:19" s="458" customFormat="1" ht="13.15" customHeight="1">
      <c r="B76" s="461" t="s">
        <v>3212</v>
      </c>
      <c r="C76" s="461" t="s">
        <v>378</v>
      </c>
      <c r="H76" s="1442"/>
      <c r="I76" s="1190"/>
      <c r="J76" s="1190"/>
      <c r="K76" s="1190"/>
      <c r="L76" s="1190"/>
      <c r="M76" s="1190"/>
      <c r="N76" s="1191"/>
      <c r="O76" s="714" t="s">
        <v>3067</v>
      </c>
      <c r="P76" s="714"/>
      <c r="Q76" s="1442"/>
      <c r="R76" s="1190"/>
      <c r="S76" s="1191"/>
    </row>
    <row r="77" spans="2:19" s="458" customFormat="1" ht="13.15" customHeight="1">
      <c r="D77" s="508"/>
      <c r="E77" s="464" t="s">
        <v>1642</v>
      </c>
      <c r="F77" s="472"/>
      <c r="H77" s="1442"/>
      <c r="I77" s="1190"/>
      <c r="J77" s="1190"/>
      <c r="K77" s="1190"/>
      <c r="L77" s="1190"/>
      <c r="M77" s="1190"/>
      <c r="N77" s="1191"/>
      <c r="O77" s="714" t="s">
        <v>2776</v>
      </c>
      <c r="Q77" s="1442"/>
      <c r="R77" s="1190"/>
      <c r="S77" s="1191"/>
    </row>
    <row r="78" spans="2:19" s="458" customFormat="1" ht="13.15" customHeight="1">
      <c r="D78" s="508"/>
      <c r="E78" s="464" t="s">
        <v>954</v>
      </c>
      <c r="H78" s="1442"/>
      <c r="I78" s="1190"/>
      <c r="J78" s="1191"/>
      <c r="O78" s="714" t="s">
        <v>2835</v>
      </c>
      <c r="Q78" s="1473"/>
      <c r="R78" s="1474"/>
      <c r="S78" s="1475"/>
    </row>
    <row r="79" spans="2:19" s="458" customFormat="1" ht="13.15" customHeight="1">
      <c r="E79" s="464" t="s">
        <v>2831</v>
      </c>
      <c r="H79" s="1439"/>
      <c r="I79" s="493" t="s">
        <v>3354</v>
      </c>
      <c r="J79" s="1476"/>
      <c r="K79" s="1191"/>
      <c r="O79" s="714" t="s">
        <v>3056</v>
      </c>
      <c r="Q79" s="1473"/>
      <c r="R79" s="1474"/>
      <c r="S79" s="1475"/>
    </row>
    <row r="80" spans="2:19" s="458" customFormat="1" ht="13.15" customHeight="1">
      <c r="D80" s="508"/>
      <c r="E80" s="464" t="s">
        <v>3062</v>
      </c>
      <c r="H80" s="1473"/>
      <c r="I80" s="1475"/>
      <c r="J80" s="1478"/>
      <c r="K80" s="719" t="s">
        <v>2834</v>
      </c>
      <c r="L80" s="1479"/>
      <c r="M80" s="1191"/>
      <c r="N80" s="466" t="s">
        <v>3061</v>
      </c>
      <c r="O80" s="1480"/>
      <c r="P80" s="1481"/>
      <c r="Q80" s="1481"/>
      <c r="R80" s="1481"/>
      <c r="S80" s="1482"/>
    </row>
    <row r="81" spans="1:19" ht="13.15" customHeight="1"/>
    <row r="82" spans="1:19" s="464" customFormat="1" ht="13.15" customHeight="1">
      <c r="A82" s="465" t="s">
        <v>1232</v>
      </c>
      <c r="B82" s="465" t="s">
        <v>379</v>
      </c>
      <c r="D82" s="465"/>
      <c r="E82" s="714"/>
      <c r="F82" s="395"/>
      <c r="G82" s="395"/>
      <c r="H82" s="395"/>
      <c r="I82" s="395"/>
      <c r="J82" s="395"/>
      <c r="K82" s="395"/>
      <c r="L82" s="395"/>
      <c r="M82" s="395"/>
    </row>
    <row r="83" spans="1:19" s="464" customFormat="1" ht="9" customHeight="1">
      <c r="A83" s="465"/>
      <c r="B83" s="465"/>
      <c r="D83" s="465"/>
      <c r="E83" s="714"/>
      <c r="F83" s="395"/>
      <c r="G83" s="395"/>
      <c r="H83" s="1485"/>
      <c r="I83" s="1485"/>
      <c r="J83" s="1485"/>
      <c r="K83" s="717"/>
      <c r="L83" s="1485"/>
      <c r="M83" s="1485"/>
      <c r="N83" s="717"/>
      <c r="O83" s="1486"/>
      <c r="P83" s="1486"/>
      <c r="Q83" s="719"/>
      <c r="R83" s="1486"/>
      <c r="S83" s="1486"/>
    </row>
    <row r="84" spans="1:19" s="458" customFormat="1" ht="13.15" customHeight="1">
      <c r="B84" s="461" t="s">
        <v>3060</v>
      </c>
      <c r="C84" s="461" t="s">
        <v>380</v>
      </c>
      <c r="H84" s="1442"/>
      <c r="I84" s="1190"/>
      <c r="J84" s="1190"/>
      <c r="K84" s="1190"/>
      <c r="L84" s="1190"/>
      <c r="M84" s="1190"/>
      <c r="N84" s="1191"/>
      <c r="O84" s="714" t="s">
        <v>3067</v>
      </c>
      <c r="P84" s="714"/>
      <c r="Q84" s="1442"/>
      <c r="R84" s="1190"/>
      <c r="S84" s="1191"/>
    </row>
    <row r="85" spans="1:19" s="458" customFormat="1" ht="13.15" customHeight="1">
      <c r="D85" s="508"/>
      <c r="E85" s="464" t="s">
        <v>1642</v>
      </c>
      <c r="F85" s="472"/>
      <c r="H85" s="1442"/>
      <c r="I85" s="1190"/>
      <c r="J85" s="1190"/>
      <c r="K85" s="1190"/>
      <c r="L85" s="1190"/>
      <c r="M85" s="1190"/>
      <c r="N85" s="1191"/>
      <c r="O85" s="714" t="s">
        <v>2776</v>
      </c>
      <c r="Q85" s="1442"/>
      <c r="R85" s="1190"/>
      <c r="S85" s="1191"/>
    </row>
    <row r="86" spans="1:19" s="458" customFormat="1" ht="13.15" customHeight="1">
      <c r="D86" s="508"/>
      <c r="E86" s="464" t="s">
        <v>954</v>
      </c>
      <c r="H86" s="1442"/>
      <c r="I86" s="1190"/>
      <c r="J86" s="1191"/>
      <c r="O86" s="714" t="s">
        <v>2835</v>
      </c>
      <c r="Q86" s="1473"/>
      <c r="R86" s="1474"/>
      <c r="S86" s="1475"/>
    </row>
    <row r="87" spans="1:19" s="458" customFormat="1" ht="13.15" customHeight="1">
      <c r="E87" s="464" t="s">
        <v>2831</v>
      </c>
      <c r="H87" s="1439"/>
      <c r="I87" s="493" t="s">
        <v>3354</v>
      </c>
      <c r="J87" s="1476"/>
      <c r="K87" s="1191"/>
      <c r="O87" s="714" t="s">
        <v>3056</v>
      </c>
      <c r="Q87" s="1473"/>
      <c r="R87" s="1474"/>
      <c r="S87" s="1475"/>
    </row>
    <row r="88" spans="1:19" s="458" customFormat="1" ht="13.15" customHeight="1">
      <c r="D88" s="508"/>
      <c r="E88" s="464" t="s">
        <v>3062</v>
      </c>
      <c r="H88" s="1473"/>
      <c r="I88" s="1475"/>
      <c r="J88" s="1478"/>
      <c r="K88" s="719" t="s">
        <v>2834</v>
      </c>
      <c r="L88" s="1479"/>
      <c r="M88" s="1191"/>
      <c r="N88" s="466" t="s">
        <v>3061</v>
      </c>
      <c r="O88" s="1480"/>
      <c r="P88" s="1481"/>
      <c r="Q88" s="1481"/>
      <c r="R88" s="1481"/>
      <c r="S88" s="1482"/>
    </row>
    <row r="89" spans="1:19" ht="6.6" customHeight="1">
      <c r="H89" s="1487"/>
      <c r="I89" s="1487"/>
      <c r="J89" s="1487"/>
      <c r="K89" s="719"/>
      <c r="L89" s="1487"/>
      <c r="M89" s="1487"/>
      <c r="N89" s="717"/>
      <c r="O89" s="1486"/>
      <c r="P89" s="1486"/>
      <c r="Q89" s="719"/>
      <c r="R89" s="1486"/>
      <c r="S89" s="1486"/>
    </row>
    <row r="90" spans="1:19" s="458" customFormat="1" ht="13.15" customHeight="1">
      <c r="B90" s="461" t="s">
        <v>3063</v>
      </c>
      <c r="C90" s="461" t="s">
        <v>381</v>
      </c>
      <c r="H90" s="1442" t="s">
        <v>3944</v>
      </c>
      <c r="I90" s="1190"/>
      <c r="J90" s="1190"/>
      <c r="K90" s="1190"/>
      <c r="L90" s="1190"/>
      <c r="M90" s="1190"/>
      <c r="N90" s="1191"/>
      <c r="O90" s="714" t="s">
        <v>3067</v>
      </c>
      <c r="P90" s="714"/>
      <c r="Q90" s="1442" t="s">
        <v>3945</v>
      </c>
      <c r="R90" s="1190"/>
      <c r="S90" s="1191"/>
    </row>
    <row r="91" spans="1:19" s="458" customFormat="1" ht="13.15" customHeight="1">
      <c r="D91" s="508"/>
      <c r="E91" s="464" t="s">
        <v>1642</v>
      </c>
      <c r="F91" s="472"/>
      <c r="H91" s="1442" t="s">
        <v>3946</v>
      </c>
      <c r="I91" s="1190"/>
      <c r="J91" s="1190"/>
      <c r="K91" s="1190"/>
      <c r="L91" s="1190"/>
      <c r="M91" s="1190"/>
      <c r="N91" s="1191"/>
      <c r="O91" s="714" t="s">
        <v>2776</v>
      </c>
      <c r="Q91" s="1442" t="s">
        <v>3921</v>
      </c>
      <c r="R91" s="1190"/>
      <c r="S91" s="1191"/>
    </row>
    <row r="92" spans="1:19" s="458" customFormat="1" ht="13.15" customHeight="1">
      <c r="D92" s="508"/>
      <c r="E92" s="464" t="s">
        <v>954</v>
      </c>
      <c r="H92" s="1442" t="s">
        <v>3947</v>
      </c>
      <c r="I92" s="1190"/>
      <c r="J92" s="1191"/>
      <c r="O92" s="714" t="s">
        <v>2835</v>
      </c>
      <c r="Q92" s="1473"/>
      <c r="R92" s="1474"/>
      <c r="S92" s="1475"/>
    </row>
    <row r="93" spans="1:19" s="458" customFormat="1" ht="13.15" customHeight="1">
      <c r="E93" s="464" t="s">
        <v>2831</v>
      </c>
      <c r="H93" s="1439" t="s">
        <v>1429</v>
      </c>
      <c r="I93" s="493" t="s">
        <v>3354</v>
      </c>
      <c r="J93" s="1476">
        <v>352426452</v>
      </c>
      <c r="K93" s="1191"/>
      <c r="O93" s="714" t="s">
        <v>3056</v>
      </c>
      <c r="Q93" s="1473"/>
      <c r="R93" s="1474"/>
      <c r="S93" s="1475"/>
    </row>
    <row r="94" spans="1:19" s="458" customFormat="1" ht="13.15" customHeight="1">
      <c r="D94" s="508"/>
      <c r="E94" s="464" t="s">
        <v>3062</v>
      </c>
      <c r="H94" s="1473">
        <v>2059955658</v>
      </c>
      <c r="I94" s="1475"/>
      <c r="J94" s="1478"/>
      <c r="K94" s="719" t="s">
        <v>2834</v>
      </c>
      <c r="L94" s="1479">
        <v>2059956168</v>
      </c>
      <c r="M94" s="1191"/>
      <c r="N94" s="466" t="s">
        <v>3061</v>
      </c>
      <c r="O94" s="1480" t="s">
        <v>3948</v>
      </c>
      <c r="P94" s="1481"/>
      <c r="Q94" s="1481"/>
      <c r="R94" s="1481"/>
      <c r="S94" s="1482"/>
    </row>
    <row r="95" spans="1:19" ht="6.6" customHeight="1">
      <c r="H95" s="1487"/>
      <c r="I95" s="1487"/>
      <c r="J95" s="1487"/>
      <c r="K95" s="719"/>
      <c r="L95" s="1487"/>
      <c r="M95" s="1487"/>
      <c r="N95" s="717"/>
      <c r="O95" s="1486"/>
      <c r="P95" s="1486"/>
      <c r="Q95" s="719"/>
      <c r="R95" s="1486"/>
      <c r="S95" s="1486"/>
    </row>
    <row r="96" spans="1:19" s="458" customFormat="1" ht="13.15" customHeight="1">
      <c r="B96" s="461" t="s">
        <v>1239</v>
      </c>
      <c r="C96" s="461" t="s">
        <v>382</v>
      </c>
      <c r="F96" s="482"/>
      <c r="H96" s="1442" t="s">
        <v>3949</v>
      </c>
      <c r="I96" s="1190"/>
      <c r="J96" s="1190"/>
      <c r="K96" s="1190"/>
      <c r="L96" s="1190"/>
      <c r="M96" s="1190"/>
      <c r="N96" s="1191"/>
      <c r="O96" s="714" t="s">
        <v>3067</v>
      </c>
      <c r="P96" s="714"/>
      <c r="Q96" s="1442" t="s">
        <v>3950</v>
      </c>
      <c r="R96" s="1190"/>
      <c r="S96" s="1191"/>
    </row>
    <row r="97" spans="2:19" s="458" customFormat="1" ht="13.15" customHeight="1">
      <c r="D97" s="508"/>
      <c r="E97" s="464" t="s">
        <v>1642</v>
      </c>
      <c r="F97" s="472"/>
      <c r="H97" s="1442" t="s">
        <v>3951</v>
      </c>
      <c r="I97" s="1190"/>
      <c r="J97" s="1190"/>
      <c r="K97" s="1190"/>
      <c r="L97" s="1190"/>
      <c r="M97" s="1190"/>
      <c r="N97" s="1191"/>
      <c r="O97" s="714" t="s">
        <v>2776</v>
      </c>
      <c r="Q97" s="1442" t="s">
        <v>3921</v>
      </c>
      <c r="R97" s="1190"/>
      <c r="S97" s="1191"/>
    </row>
    <row r="98" spans="2:19" s="458" customFormat="1" ht="13.15" customHeight="1">
      <c r="D98" s="508"/>
      <c r="E98" s="464" t="s">
        <v>954</v>
      </c>
      <c r="H98" s="1442" t="s">
        <v>3947</v>
      </c>
      <c r="I98" s="1190"/>
      <c r="J98" s="1191"/>
      <c r="O98" s="714" t="s">
        <v>2835</v>
      </c>
      <c r="Q98" s="1473"/>
      <c r="R98" s="1474"/>
      <c r="S98" s="1475"/>
    </row>
    <row r="99" spans="2:19" s="458" customFormat="1" ht="13.15" customHeight="1">
      <c r="D99" s="508"/>
      <c r="E99" s="464" t="s">
        <v>2831</v>
      </c>
      <c r="H99" s="1439" t="s">
        <v>1429</v>
      </c>
      <c r="I99" s="493" t="s">
        <v>3354</v>
      </c>
      <c r="J99" s="1476">
        <v>352420000</v>
      </c>
      <c r="K99" s="1191"/>
      <c r="O99" s="714" t="s">
        <v>3056</v>
      </c>
      <c r="Q99" s="1473">
        <v>6784468933</v>
      </c>
      <c r="R99" s="1474"/>
      <c r="S99" s="1475"/>
    </row>
    <row r="100" spans="2:19" s="458" customFormat="1" ht="13.15" customHeight="1">
      <c r="D100" s="508"/>
      <c r="E100" s="464" t="s">
        <v>3062</v>
      </c>
      <c r="H100" s="1473">
        <v>2059803245</v>
      </c>
      <c r="I100" s="1475"/>
      <c r="J100" s="1478"/>
      <c r="K100" s="719" t="s">
        <v>2834</v>
      </c>
      <c r="L100" s="1479">
        <v>2567675804</v>
      </c>
      <c r="M100" s="1191"/>
      <c r="N100" s="466" t="s">
        <v>3061</v>
      </c>
      <c r="O100" s="1480" t="s">
        <v>3952</v>
      </c>
      <c r="P100" s="1481"/>
      <c r="Q100" s="1481"/>
      <c r="R100" s="1481"/>
      <c r="S100" s="1482"/>
    </row>
    <row r="101" spans="2:19" ht="6.6" customHeight="1">
      <c r="H101" s="1487"/>
      <c r="I101" s="1487"/>
      <c r="J101" s="1487"/>
      <c r="K101" s="719"/>
      <c r="L101" s="1487"/>
      <c r="M101" s="1487"/>
      <c r="N101" s="717"/>
      <c r="O101" s="1486"/>
      <c r="P101" s="1486"/>
      <c r="Q101" s="719"/>
      <c r="R101" s="1486"/>
      <c r="S101" s="1486"/>
    </row>
    <row r="102" spans="2:19" s="458" customFormat="1" ht="13.15" customHeight="1">
      <c r="B102" s="461" t="s">
        <v>3212</v>
      </c>
      <c r="C102" s="461" t="s">
        <v>383</v>
      </c>
      <c r="H102" s="1442" t="s">
        <v>3953</v>
      </c>
      <c r="I102" s="1190"/>
      <c r="J102" s="1190"/>
      <c r="K102" s="1190"/>
      <c r="L102" s="1190"/>
      <c r="M102" s="1190"/>
      <c r="N102" s="1191"/>
      <c r="O102" s="714" t="s">
        <v>3067</v>
      </c>
      <c r="P102" s="714"/>
      <c r="Q102" s="1442" t="s">
        <v>3954</v>
      </c>
      <c r="R102" s="1190"/>
      <c r="S102" s="1191"/>
    </row>
    <row r="103" spans="2:19" s="458" customFormat="1" ht="13.15" customHeight="1">
      <c r="D103" s="508"/>
      <c r="E103" s="464" t="s">
        <v>1642</v>
      </c>
      <c r="F103" s="472"/>
      <c r="H103" s="1442" t="s">
        <v>3955</v>
      </c>
      <c r="I103" s="1190"/>
      <c r="J103" s="1190"/>
      <c r="K103" s="1190"/>
      <c r="L103" s="1190"/>
      <c r="M103" s="1190"/>
      <c r="N103" s="1191"/>
      <c r="O103" s="714" t="s">
        <v>2776</v>
      </c>
      <c r="Q103" s="1442" t="s">
        <v>3956</v>
      </c>
      <c r="R103" s="1190"/>
      <c r="S103" s="1191"/>
    </row>
    <row r="104" spans="2:19" s="458" customFormat="1" ht="13.15" customHeight="1">
      <c r="D104" s="508"/>
      <c r="E104" s="464" t="s">
        <v>954</v>
      </c>
      <c r="H104" s="1442" t="s">
        <v>2714</v>
      </c>
      <c r="I104" s="1190"/>
      <c r="J104" s="1191"/>
      <c r="O104" s="714" t="s">
        <v>2835</v>
      </c>
      <c r="Q104" s="1473">
        <v>2296718216</v>
      </c>
      <c r="R104" s="1474"/>
      <c r="S104" s="1475"/>
    </row>
    <row r="105" spans="2:19" s="458" customFormat="1" ht="13.15" customHeight="1">
      <c r="D105" s="508"/>
      <c r="E105" s="464" t="s">
        <v>2831</v>
      </c>
      <c r="H105" s="1439" t="s">
        <v>1439</v>
      </c>
      <c r="I105" s="493" t="s">
        <v>3354</v>
      </c>
      <c r="J105" s="1476">
        <v>316034531</v>
      </c>
      <c r="K105" s="1191"/>
      <c r="O105" s="714" t="s">
        <v>3056</v>
      </c>
      <c r="Q105" s="1473">
        <v>2295484476</v>
      </c>
      <c r="R105" s="1474"/>
      <c r="S105" s="1475"/>
    </row>
    <row r="106" spans="2:19" ht="13.15" customHeight="1">
      <c r="E106" s="464" t="s">
        <v>3062</v>
      </c>
      <c r="F106" s="458"/>
      <c r="G106" s="458"/>
      <c r="H106" s="1473">
        <v>2292427562</v>
      </c>
      <c r="I106" s="1475"/>
      <c r="J106" s="1478"/>
      <c r="K106" s="719" t="s">
        <v>2834</v>
      </c>
      <c r="L106" s="1479">
        <v>2293330885</v>
      </c>
      <c r="M106" s="1191"/>
      <c r="N106" s="466" t="s">
        <v>3061</v>
      </c>
      <c r="O106" s="1480" t="s">
        <v>3957</v>
      </c>
      <c r="P106" s="1481"/>
      <c r="Q106" s="1481"/>
      <c r="R106" s="1481"/>
      <c r="S106" s="1482"/>
    </row>
    <row r="107" spans="2:19" ht="6" customHeight="1">
      <c r="E107" s="464"/>
      <c r="F107" s="458"/>
      <c r="G107" s="458"/>
      <c r="H107" s="458"/>
      <c r="I107" s="458"/>
      <c r="J107" s="458"/>
      <c r="K107" s="458"/>
      <c r="L107" s="458"/>
      <c r="M107" s="458"/>
      <c r="N107" s="458"/>
      <c r="O107" s="458"/>
      <c r="P107" s="458"/>
      <c r="Q107" s="719"/>
      <c r="R107" s="719"/>
      <c r="S107" s="1489"/>
    </row>
    <row r="108" spans="2:19" ht="0.6" customHeight="1">
      <c r="E108" s="464"/>
      <c r="F108" s="458"/>
      <c r="G108" s="721"/>
      <c r="H108" s="1485"/>
      <c r="I108" s="1485"/>
      <c r="J108" s="1485"/>
      <c r="K108" s="717"/>
      <c r="L108" s="1485"/>
      <c r="M108" s="1485"/>
      <c r="N108" s="717"/>
      <c r="O108" s="1486"/>
      <c r="P108" s="1486"/>
      <c r="Q108" s="719"/>
      <c r="R108" s="1486"/>
      <c r="S108" s="1486"/>
    </row>
    <row r="109" spans="2:19" s="458" customFormat="1" ht="13.15" customHeight="1">
      <c r="B109" s="461" t="s">
        <v>2763</v>
      </c>
      <c r="C109" s="461" t="s">
        <v>384</v>
      </c>
      <c r="H109" s="1442" t="s">
        <v>3958</v>
      </c>
      <c r="I109" s="1190"/>
      <c r="J109" s="1190"/>
      <c r="K109" s="1190"/>
      <c r="L109" s="1190"/>
      <c r="M109" s="1190"/>
      <c r="N109" s="1191"/>
      <c r="O109" s="714" t="s">
        <v>3067</v>
      </c>
      <c r="P109" s="714"/>
      <c r="Q109" s="1442" t="s">
        <v>3959</v>
      </c>
      <c r="R109" s="1190"/>
      <c r="S109" s="1191"/>
    </row>
    <row r="110" spans="2:19" s="458" customFormat="1" ht="13.15" customHeight="1">
      <c r="D110" s="508"/>
      <c r="E110" s="464" t="s">
        <v>1642</v>
      </c>
      <c r="F110" s="472"/>
      <c r="H110" s="1442" t="s">
        <v>3960</v>
      </c>
      <c r="I110" s="1190"/>
      <c r="J110" s="1190"/>
      <c r="K110" s="1190"/>
      <c r="L110" s="1190"/>
      <c r="M110" s="1190"/>
      <c r="N110" s="1191"/>
      <c r="O110" s="714" t="s">
        <v>2776</v>
      </c>
      <c r="Q110" s="1442" t="s">
        <v>3961</v>
      </c>
      <c r="R110" s="1190"/>
      <c r="S110" s="1191"/>
    </row>
    <row r="111" spans="2:19" s="458" customFormat="1" ht="13.15" customHeight="1">
      <c r="D111" s="508"/>
      <c r="E111" s="464" t="s">
        <v>954</v>
      </c>
      <c r="H111" s="1442" t="s">
        <v>3947</v>
      </c>
      <c r="I111" s="1190"/>
      <c r="J111" s="1191"/>
      <c r="O111" s="714" t="s">
        <v>2835</v>
      </c>
      <c r="Q111" s="1473"/>
      <c r="R111" s="1474"/>
      <c r="S111" s="1475"/>
    </row>
    <row r="112" spans="2:19" s="458" customFormat="1" ht="13.15" customHeight="1">
      <c r="D112" s="508"/>
      <c r="E112" s="464" t="s">
        <v>2831</v>
      </c>
      <c r="H112" s="1439" t="s">
        <v>1429</v>
      </c>
      <c r="I112" s="493" t="s">
        <v>3354</v>
      </c>
      <c r="J112" s="1476">
        <v>352433168</v>
      </c>
      <c r="K112" s="1191"/>
      <c r="O112" s="714" t="s">
        <v>3056</v>
      </c>
      <c r="Q112" s="1473"/>
      <c r="R112" s="1474"/>
      <c r="S112" s="1475"/>
    </row>
    <row r="113" spans="1:19" ht="13.15" customHeight="1">
      <c r="E113" s="464" t="s">
        <v>3062</v>
      </c>
      <c r="F113" s="458"/>
      <c r="G113" s="458"/>
      <c r="H113" s="1473">
        <v>2058221010</v>
      </c>
      <c r="I113" s="1475"/>
      <c r="J113" s="1478"/>
      <c r="K113" s="719" t="s">
        <v>2834</v>
      </c>
      <c r="L113" s="1479">
        <v>2058221555</v>
      </c>
      <c r="M113" s="1191"/>
      <c r="N113" s="466" t="s">
        <v>3061</v>
      </c>
      <c r="O113" s="1480" t="s">
        <v>3962</v>
      </c>
      <c r="P113" s="1481"/>
      <c r="Q113" s="1481"/>
      <c r="R113" s="1481"/>
      <c r="S113" s="1482"/>
    </row>
    <row r="114" spans="1:19" ht="6.6" customHeight="1">
      <c r="E114" s="464"/>
      <c r="F114" s="458"/>
      <c r="G114" s="721"/>
      <c r="H114" s="1487"/>
      <c r="I114" s="1487"/>
      <c r="J114" s="1487"/>
      <c r="K114" s="719"/>
      <c r="L114" s="1487"/>
      <c r="M114" s="1487"/>
      <c r="N114" s="717"/>
      <c r="O114" s="1486"/>
      <c r="P114" s="1486"/>
      <c r="Q114" s="719"/>
      <c r="R114" s="1486"/>
      <c r="S114" s="1486"/>
    </row>
    <row r="115" spans="1:19" s="458" customFormat="1" ht="13.15" customHeight="1">
      <c r="B115" s="461" t="s">
        <v>2764</v>
      </c>
      <c r="C115" s="461" t="s">
        <v>385</v>
      </c>
      <c r="H115" s="1442" t="s">
        <v>3963</v>
      </c>
      <c r="I115" s="1190"/>
      <c r="J115" s="1190"/>
      <c r="K115" s="1190"/>
      <c r="L115" s="1190"/>
      <c r="M115" s="1190"/>
      <c r="N115" s="1191"/>
      <c r="O115" s="714" t="s">
        <v>3067</v>
      </c>
      <c r="P115" s="714"/>
      <c r="Q115" s="1442" t="s">
        <v>3964</v>
      </c>
      <c r="R115" s="1190"/>
      <c r="S115" s="1191"/>
    </row>
    <row r="116" spans="1:19" s="458" customFormat="1" ht="13.15" customHeight="1">
      <c r="D116" s="508"/>
      <c r="E116" s="464" t="s">
        <v>1642</v>
      </c>
      <c r="F116" s="472"/>
      <c r="H116" s="1442" t="s">
        <v>3965</v>
      </c>
      <c r="I116" s="1190"/>
      <c r="J116" s="1190"/>
      <c r="K116" s="1190"/>
      <c r="L116" s="1190"/>
      <c r="M116" s="1190"/>
      <c r="N116" s="1191"/>
      <c r="O116" s="714" t="s">
        <v>2776</v>
      </c>
      <c r="Q116" s="1442" t="s">
        <v>3921</v>
      </c>
      <c r="R116" s="1190"/>
      <c r="S116" s="1191"/>
    </row>
    <row r="117" spans="1:19" s="458" customFormat="1" ht="13.15" customHeight="1">
      <c r="D117" s="508"/>
      <c r="E117" s="464" t="s">
        <v>954</v>
      </c>
      <c r="H117" s="1442" t="s">
        <v>241</v>
      </c>
      <c r="I117" s="1190"/>
      <c r="J117" s="1191"/>
      <c r="O117" s="714" t="s">
        <v>2835</v>
      </c>
      <c r="Q117" s="1473"/>
      <c r="R117" s="1474"/>
      <c r="S117" s="1475"/>
    </row>
    <row r="118" spans="1:19" s="458" customFormat="1" ht="13.15" customHeight="1">
      <c r="D118" s="513"/>
      <c r="E118" s="464" t="s">
        <v>2831</v>
      </c>
      <c r="H118" s="1439" t="s">
        <v>1429</v>
      </c>
      <c r="I118" s="493" t="s">
        <v>3354</v>
      </c>
      <c r="J118" s="1476">
        <v>361062727</v>
      </c>
      <c r="K118" s="1191"/>
      <c r="O118" s="714" t="s">
        <v>3056</v>
      </c>
      <c r="Q118" s="1473">
        <v>3345461281</v>
      </c>
      <c r="R118" s="1474"/>
      <c r="S118" s="1475"/>
    </row>
    <row r="119" spans="1:19" s="458" customFormat="1" ht="13.15" customHeight="1">
      <c r="D119" s="513"/>
      <c r="E119" s="464" t="s">
        <v>3062</v>
      </c>
      <c r="H119" s="1473">
        <v>3342724044</v>
      </c>
      <c r="I119" s="1475"/>
      <c r="J119" s="1478"/>
      <c r="K119" s="719" t="s">
        <v>2834</v>
      </c>
      <c r="L119" s="1479">
        <v>3342440347</v>
      </c>
      <c r="M119" s="1191"/>
      <c r="N119" s="466" t="s">
        <v>3061</v>
      </c>
      <c r="O119" s="1480" t="s">
        <v>3966</v>
      </c>
      <c r="P119" s="1481"/>
      <c r="Q119" s="1481"/>
      <c r="R119" s="1481"/>
      <c r="S119" s="1482"/>
    </row>
    <row r="120" spans="1:19" ht="13.15" customHeight="1"/>
    <row r="121" spans="1:19" s="458" customFormat="1" ht="13.15" customHeight="1">
      <c r="A121" s="461" t="s">
        <v>2824</v>
      </c>
      <c r="B121" s="461" t="s">
        <v>366</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977</v>
      </c>
      <c r="B123" s="1490"/>
      <c r="C123" s="1490"/>
      <c r="D123" s="1491"/>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2"/>
      <c r="B124" s="1493"/>
      <c r="C124" s="1493"/>
      <c r="D124" s="1494"/>
      <c r="E124" s="837"/>
      <c r="F124" s="812"/>
      <c r="G124" s="806"/>
      <c r="H124" s="817"/>
      <c r="I124" s="818"/>
      <c r="J124" s="823"/>
      <c r="K124" s="824"/>
      <c r="L124" s="806"/>
      <c r="M124" s="828"/>
      <c r="N124" s="806"/>
      <c r="O124" s="818"/>
      <c r="P124" s="806"/>
      <c r="Q124" s="818"/>
      <c r="R124" s="806"/>
      <c r="S124" s="807"/>
    </row>
    <row r="125" spans="1:19" s="458" customFormat="1" ht="21.6" customHeight="1">
      <c r="A125" s="1492"/>
      <c r="B125" s="1493"/>
      <c r="C125" s="1493"/>
      <c r="D125" s="1494"/>
      <c r="E125" s="837"/>
      <c r="F125" s="813"/>
      <c r="G125" s="806"/>
      <c r="H125" s="817"/>
      <c r="I125" s="818"/>
      <c r="J125" s="823"/>
      <c r="K125" s="824"/>
      <c r="L125" s="829"/>
      <c r="M125" s="828"/>
      <c r="N125" s="806"/>
      <c r="O125" s="818"/>
      <c r="P125" s="806"/>
      <c r="Q125" s="818"/>
      <c r="R125" s="808"/>
      <c r="S125" s="807"/>
    </row>
    <row r="126" spans="1:19" s="458" customFormat="1" ht="21.6" customHeight="1">
      <c r="A126" s="1492"/>
      <c r="B126" s="1493"/>
      <c r="C126" s="1493"/>
      <c r="D126" s="1494"/>
      <c r="E126" s="837"/>
      <c r="F126" s="813"/>
      <c r="G126" s="806"/>
      <c r="H126" s="817"/>
      <c r="I126" s="818"/>
      <c r="J126" s="823"/>
      <c r="K126" s="824"/>
      <c r="L126" s="829"/>
      <c r="M126" s="828"/>
      <c r="N126" s="806"/>
      <c r="O126" s="818"/>
      <c r="P126" s="806"/>
      <c r="Q126" s="818"/>
      <c r="R126" s="808"/>
      <c r="S126" s="807"/>
    </row>
    <row r="127" spans="1:19" s="458" customFormat="1" ht="21.6" customHeight="1">
      <c r="A127" s="1495"/>
      <c r="B127" s="1496"/>
      <c r="C127" s="1496"/>
      <c r="D127" s="1497"/>
      <c r="E127" s="838"/>
      <c r="F127" s="814"/>
      <c r="G127" s="819"/>
      <c r="H127" s="820"/>
      <c r="I127" s="821"/>
      <c r="J127" s="825"/>
      <c r="K127" s="826"/>
      <c r="L127" s="830"/>
      <c r="M127" s="831"/>
      <c r="N127" s="819"/>
      <c r="O127" s="821"/>
      <c r="P127" s="819"/>
      <c r="Q127" s="821"/>
      <c r="R127" s="809"/>
      <c r="S127" s="810"/>
    </row>
    <row r="128" spans="1:19" s="458" customFormat="1" ht="13.9" customHeight="1">
      <c r="A128" s="723" t="s">
        <v>3535</v>
      </c>
      <c r="B128" s="724"/>
      <c r="C128" s="724"/>
      <c r="D128" s="725"/>
      <c r="E128" s="1498" t="s">
        <v>3926</v>
      </c>
      <c r="F128" s="1498" t="s">
        <v>3926</v>
      </c>
      <c r="G128" s="1499" t="s">
        <v>3926</v>
      </c>
      <c r="H128" s="1500"/>
      <c r="I128" s="1501"/>
      <c r="J128" s="1499" t="s">
        <v>3933</v>
      </c>
      <c r="K128" s="1501"/>
      <c r="L128" s="1499" t="s">
        <v>3926</v>
      </c>
      <c r="M128" s="1501"/>
      <c r="N128" s="1499" t="s">
        <v>3926</v>
      </c>
      <c r="O128" s="1501"/>
      <c r="P128" s="1502" t="s">
        <v>3967</v>
      </c>
      <c r="Q128" s="1503"/>
      <c r="R128" s="1504">
        <v>1E-4</v>
      </c>
      <c r="S128" s="1505"/>
    </row>
    <row r="129" spans="1:19" s="458" customFormat="1" ht="13.9" customHeight="1">
      <c r="A129" s="720" t="s">
        <v>3525</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3526</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3527</v>
      </c>
      <c r="B131" s="721"/>
      <c r="C131" s="721"/>
      <c r="D131" s="722"/>
      <c r="E131" s="1506" t="s">
        <v>3926</v>
      </c>
      <c r="F131" s="1506" t="s">
        <v>3926</v>
      </c>
      <c r="G131" s="1507" t="s">
        <v>3926</v>
      </c>
      <c r="H131" s="1508"/>
      <c r="I131" s="1509"/>
      <c r="J131" s="1507" t="s">
        <v>3926</v>
      </c>
      <c r="K131" s="1509"/>
      <c r="L131" s="1507" t="s">
        <v>3926</v>
      </c>
      <c r="M131" s="1509"/>
      <c r="N131" s="1507" t="s">
        <v>3926</v>
      </c>
      <c r="O131" s="1509"/>
      <c r="P131" s="1510" t="s">
        <v>3967</v>
      </c>
      <c r="Q131" s="1511"/>
      <c r="R131" s="1512">
        <v>0.99980000000000002</v>
      </c>
      <c r="S131" s="1513"/>
    </row>
    <row r="132" spans="1:19" s="458" customFormat="1" ht="13.9" customHeight="1">
      <c r="A132" s="720" t="s">
        <v>3528</v>
      </c>
      <c r="B132" s="721"/>
      <c r="C132" s="721"/>
      <c r="D132" s="722"/>
      <c r="E132" s="1506" t="s">
        <v>3926</v>
      </c>
      <c r="F132" s="1506" t="s">
        <v>3926</v>
      </c>
      <c r="G132" s="1507" t="s">
        <v>3926</v>
      </c>
      <c r="H132" s="1508"/>
      <c r="I132" s="1509"/>
      <c r="J132" s="1507" t="s">
        <v>3926</v>
      </c>
      <c r="K132" s="1509"/>
      <c r="L132" s="1507" t="s">
        <v>3926</v>
      </c>
      <c r="M132" s="1509"/>
      <c r="N132" s="1507" t="s">
        <v>3926</v>
      </c>
      <c r="O132" s="1509"/>
      <c r="P132" s="1510" t="s">
        <v>3967</v>
      </c>
      <c r="Q132" s="1511"/>
      <c r="R132" s="1512">
        <v>1E-4</v>
      </c>
      <c r="S132" s="1513"/>
    </row>
    <row r="133" spans="1:19" s="458" customFormat="1" ht="13.9" customHeight="1">
      <c r="A133" s="720" t="s">
        <v>3529</v>
      </c>
      <c r="B133" s="721"/>
      <c r="C133" s="721"/>
      <c r="D133" s="722"/>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0" t="s">
        <v>997</v>
      </c>
      <c r="B134" s="721"/>
      <c r="C134" s="721"/>
      <c r="D134" s="722"/>
      <c r="E134" s="1506" t="s">
        <v>3926</v>
      </c>
      <c r="F134" s="1506" t="s">
        <v>3926</v>
      </c>
      <c r="G134" s="1507" t="s">
        <v>3926</v>
      </c>
      <c r="H134" s="1508"/>
      <c r="I134" s="1509"/>
      <c r="J134" s="1507" t="s">
        <v>3933</v>
      </c>
      <c r="K134" s="1509"/>
      <c r="L134" s="1507" t="s">
        <v>3926</v>
      </c>
      <c r="M134" s="1509"/>
      <c r="N134" s="1507" t="s">
        <v>3926</v>
      </c>
      <c r="O134" s="1509"/>
      <c r="P134" s="1510" t="s">
        <v>3967</v>
      </c>
      <c r="Q134" s="1511"/>
      <c r="R134" s="1512">
        <v>0</v>
      </c>
      <c r="S134" s="1513"/>
    </row>
    <row r="135" spans="1:19" s="458" customFormat="1" ht="13.9" customHeight="1">
      <c r="A135" s="720" t="s">
        <v>3530</v>
      </c>
      <c r="B135" s="721"/>
      <c r="C135" s="721"/>
      <c r="D135" s="722"/>
      <c r="E135" s="1506" t="s">
        <v>3926</v>
      </c>
      <c r="F135" s="1506" t="s">
        <v>3926</v>
      </c>
      <c r="G135" s="1507" t="s">
        <v>3926</v>
      </c>
      <c r="H135" s="1508"/>
      <c r="I135" s="1509"/>
      <c r="J135" s="1507" t="s">
        <v>3933</v>
      </c>
      <c r="K135" s="1509"/>
      <c r="L135" s="1507" t="s">
        <v>3926</v>
      </c>
      <c r="M135" s="1509"/>
      <c r="N135" s="1507" t="s">
        <v>3926</v>
      </c>
      <c r="O135" s="1509"/>
      <c r="P135" s="1510" t="s">
        <v>3967</v>
      </c>
      <c r="Q135" s="1511"/>
      <c r="R135" s="1512">
        <v>0</v>
      </c>
      <c r="S135" s="1513"/>
    </row>
    <row r="136" spans="1:19" s="458" customFormat="1" ht="13.9" customHeight="1">
      <c r="A136" s="720" t="s">
        <v>3531</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3532</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3533</v>
      </c>
      <c r="B138" s="721"/>
      <c r="C138" s="721"/>
      <c r="D138" s="722"/>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0" t="s">
        <v>2281</v>
      </c>
      <c r="B139" s="721"/>
      <c r="C139" s="721"/>
      <c r="D139" s="722"/>
      <c r="E139" s="1506" t="s">
        <v>3926</v>
      </c>
      <c r="F139" s="1506" t="s">
        <v>3926</v>
      </c>
      <c r="G139" s="1507" t="s">
        <v>3926</v>
      </c>
      <c r="H139" s="1508"/>
      <c r="I139" s="1509"/>
      <c r="J139" s="1507" t="s">
        <v>3926</v>
      </c>
      <c r="K139" s="1509"/>
      <c r="L139" s="1507" t="s">
        <v>3926</v>
      </c>
      <c r="M139" s="1509"/>
      <c r="N139" s="1507" t="s">
        <v>3926</v>
      </c>
      <c r="O139" s="1509"/>
      <c r="P139" s="1510" t="s">
        <v>3967</v>
      </c>
      <c r="Q139" s="1511"/>
      <c r="R139" s="1512">
        <v>0</v>
      </c>
      <c r="S139" s="1513"/>
    </row>
    <row r="140" spans="1:19" s="458" customFormat="1" ht="13.9" customHeight="1">
      <c r="A140" s="726" t="s">
        <v>3534</v>
      </c>
      <c r="B140" s="727"/>
      <c r="C140" s="727"/>
      <c r="D140" s="514"/>
      <c r="E140" s="1514" t="s">
        <v>3926</v>
      </c>
      <c r="F140" s="1514" t="s">
        <v>3926</v>
      </c>
      <c r="G140" s="1515" t="s">
        <v>3926</v>
      </c>
      <c r="H140" s="1516"/>
      <c r="I140" s="1517"/>
      <c r="J140" s="1515" t="s">
        <v>3933</v>
      </c>
      <c r="K140" s="1517"/>
      <c r="L140" s="1515" t="s">
        <v>3926</v>
      </c>
      <c r="M140" s="1517"/>
      <c r="N140" s="1515" t="s">
        <v>3926</v>
      </c>
      <c r="O140" s="1517"/>
      <c r="P140" s="1518" t="s">
        <v>3967</v>
      </c>
      <c r="Q140" s="1519"/>
      <c r="R140" s="1520">
        <v>0</v>
      </c>
      <c r="S140" s="1521"/>
    </row>
    <row r="141" spans="1:19" s="721" customFormat="1" ht="13.9" customHeight="1">
      <c r="G141" s="470"/>
      <c r="H141" s="470"/>
      <c r="I141" s="470"/>
      <c r="J141" s="719"/>
      <c r="K141" s="719"/>
      <c r="L141" s="719"/>
      <c r="M141" s="719"/>
      <c r="P141" s="468"/>
      <c r="Q141" s="489" t="s">
        <v>833</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2826</v>
      </c>
      <c r="B143" s="506"/>
      <c r="C143" s="491" t="s">
        <v>880</v>
      </c>
      <c r="N143" s="491" t="s">
        <v>823</v>
      </c>
      <c r="O143" s="491" t="s">
        <v>89</v>
      </c>
    </row>
    <row r="144" spans="1:19" ht="3.6" customHeight="1">
      <c r="B144" s="506"/>
    </row>
    <row r="145" spans="1:19" ht="42.6" customHeight="1">
      <c r="A145" s="1290" t="s">
        <v>4015</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t="s">
        <v>4013</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2831</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5"/>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1" zoomScale="85" zoomScaleNormal="85" zoomScaleSheetLayoutView="90" workbookViewId="0">
      <selection activeCell="C31" sqref="C31"/>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2011-020 Heritage Vista Apartments, Milledgeville, Baldwin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9" t="s">
        <v>3933</v>
      </c>
      <c r="C5" s="714" t="s">
        <v>3653</v>
      </c>
      <c r="D5" s="458"/>
      <c r="E5" s="1439" t="s">
        <v>3933</v>
      </c>
      <c r="F5" s="716" t="s">
        <v>2654</v>
      </c>
      <c r="G5" s="458"/>
      <c r="J5" s="1440">
        <v>1660000</v>
      </c>
      <c r="K5" s="1441"/>
      <c r="M5" s="1439" t="s">
        <v>3926</v>
      </c>
      <c r="N5" s="714" t="s">
        <v>846</v>
      </c>
    </row>
    <row r="6" spans="1:17" s="398" customFormat="1" ht="16.899999999999999" customHeight="1">
      <c r="A6" s="735"/>
      <c r="B6" s="1439" t="s">
        <v>3926</v>
      </c>
      <c r="C6" s="714" t="s">
        <v>2836</v>
      </c>
      <c r="D6" s="458"/>
      <c r="E6" s="1439" t="s">
        <v>3926</v>
      </c>
      <c r="F6" s="716" t="s">
        <v>3312</v>
      </c>
      <c r="J6" s="1439" t="s">
        <v>3926</v>
      </c>
      <c r="K6" s="721" t="s">
        <v>847</v>
      </c>
      <c r="M6" s="1439" t="s">
        <v>3926</v>
      </c>
      <c r="N6" s="716" t="s">
        <v>845</v>
      </c>
    </row>
    <row r="7" spans="1:17" s="398" customFormat="1" ht="16.899999999999999" customHeight="1">
      <c r="A7" s="458"/>
      <c r="B7" s="1439" t="s">
        <v>3926</v>
      </c>
      <c r="C7" s="714" t="s">
        <v>2837</v>
      </c>
      <c r="E7" s="1439" t="s">
        <v>3926</v>
      </c>
      <c r="F7" s="716" t="s">
        <v>3311</v>
      </c>
      <c r="G7" s="458"/>
      <c r="J7" s="1439" t="s">
        <v>3926</v>
      </c>
      <c r="K7" s="721" t="s">
        <v>2291</v>
      </c>
      <c r="M7" s="1439" t="s">
        <v>3926</v>
      </c>
      <c r="N7" s="464" t="s">
        <v>1982</v>
      </c>
      <c r="P7" s="1440"/>
      <c r="Q7" s="1441"/>
    </row>
    <row r="8" spans="1:17" s="398" customFormat="1" ht="16.899999999999999" customHeight="1">
      <c r="A8" s="735"/>
      <c r="B8" s="1439" t="s">
        <v>3926</v>
      </c>
      <c r="C8" s="721" t="s">
        <v>3915</v>
      </c>
      <c r="D8" s="458"/>
      <c r="E8" s="1439" t="s">
        <v>3926</v>
      </c>
      <c r="F8" s="487" t="s">
        <v>3916</v>
      </c>
      <c r="H8" s="1439" t="s">
        <v>3926</v>
      </c>
      <c r="I8" s="458" t="s">
        <v>3654</v>
      </c>
      <c r="J8" s="1439" t="s">
        <v>3926</v>
      </c>
      <c r="K8" s="458" t="s">
        <v>875</v>
      </c>
      <c r="M8" s="1439" t="s">
        <v>3926</v>
      </c>
      <c r="N8" s="1442" t="s">
        <v>3232</v>
      </c>
      <c r="O8" s="1443"/>
      <c r="P8" s="1443"/>
      <c r="Q8" s="1444"/>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2927</v>
      </c>
      <c r="C13" s="458"/>
      <c r="D13" s="458"/>
      <c r="E13" s="458"/>
      <c r="F13" s="458"/>
      <c r="G13" s="458"/>
      <c r="H13" s="872" t="s">
        <v>1998</v>
      </c>
      <c r="I13" s="872"/>
      <c r="J13" s="872"/>
      <c r="K13" s="872"/>
      <c r="L13" s="782" t="s">
        <v>3068</v>
      </c>
      <c r="M13" s="782"/>
      <c r="N13" s="782" t="s">
        <v>2258</v>
      </c>
      <c r="O13" s="782"/>
      <c r="P13" s="782" t="s">
        <v>2537</v>
      </c>
      <c r="Q13" s="782"/>
    </row>
    <row r="14" spans="1:17" s="398" customFormat="1" ht="16.899999999999999" customHeight="1">
      <c r="A14" s="458"/>
      <c r="B14" s="839" t="s">
        <v>2348</v>
      </c>
      <c r="C14" s="840"/>
      <c r="D14" s="840"/>
      <c r="E14" s="724"/>
      <c r="F14" s="724"/>
      <c r="G14" s="724"/>
      <c r="H14" s="1442" t="s">
        <v>3975</v>
      </c>
      <c r="I14" s="1443"/>
      <c r="J14" s="1443"/>
      <c r="K14" s="1444"/>
      <c r="L14" s="1391">
        <v>1660000</v>
      </c>
      <c r="M14" s="1392"/>
      <c r="N14" s="1445">
        <v>0</v>
      </c>
      <c r="O14" s="1446"/>
      <c r="P14" s="1447">
        <v>18</v>
      </c>
      <c r="Q14" s="1448"/>
    </row>
    <row r="15" spans="1:17" s="398" customFormat="1" ht="16.899999999999999" customHeight="1">
      <c r="A15" s="458"/>
      <c r="B15" s="841" t="s">
        <v>2349</v>
      </c>
      <c r="C15" s="842"/>
      <c r="D15" s="842"/>
      <c r="E15" s="721"/>
      <c r="F15" s="721"/>
      <c r="G15" s="721"/>
      <c r="H15" s="1442"/>
      <c r="I15" s="1443"/>
      <c r="J15" s="1443"/>
      <c r="K15" s="1444"/>
      <c r="L15" s="1391"/>
      <c r="M15" s="1392"/>
      <c r="N15" s="1445"/>
      <c r="O15" s="1446"/>
      <c r="P15" s="1449"/>
      <c r="Q15" s="1450"/>
    </row>
    <row r="16" spans="1:17" s="398" customFormat="1" ht="16.899999999999999" customHeight="1">
      <c r="A16" s="458"/>
      <c r="B16" s="859" t="s">
        <v>2350</v>
      </c>
      <c r="C16" s="860"/>
      <c r="D16" s="860"/>
      <c r="E16" s="727"/>
      <c r="F16" s="727"/>
      <c r="G16" s="727"/>
      <c r="H16" s="1442"/>
      <c r="I16" s="1443"/>
      <c r="J16" s="1443"/>
      <c r="K16" s="1444"/>
      <c r="L16" s="1391"/>
      <c r="M16" s="1392"/>
      <c r="N16" s="1445"/>
      <c r="O16" s="1446"/>
      <c r="P16" s="1449"/>
      <c r="Q16" s="1450"/>
    </row>
    <row r="17" spans="1:17" s="398" customFormat="1" ht="16.899999999999999" customHeight="1">
      <c r="A17" s="458"/>
      <c r="B17" s="839" t="s">
        <v>3333</v>
      </c>
      <c r="C17" s="840"/>
      <c r="D17" s="840"/>
      <c r="E17" s="721"/>
      <c r="F17" s="721"/>
      <c r="G17" s="721"/>
      <c r="H17" s="1442"/>
      <c r="I17" s="1443"/>
      <c r="J17" s="1443"/>
      <c r="K17" s="1444"/>
      <c r="L17" s="1391"/>
      <c r="M17" s="1392"/>
      <c r="N17" s="857"/>
      <c r="O17" s="858"/>
      <c r="P17" s="854"/>
      <c r="Q17" s="854"/>
    </row>
    <row r="18" spans="1:17" s="398" customFormat="1" ht="16.899999999999999" customHeight="1">
      <c r="A18" s="458"/>
      <c r="B18" s="841" t="s">
        <v>1384</v>
      </c>
      <c r="C18" s="842"/>
      <c r="D18" s="842"/>
      <c r="E18" s="721"/>
      <c r="H18" s="1442"/>
      <c r="I18" s="1443"/>
      <c r="J18" s="1443"/>
      <c r="K18" s="1444"/>
      <c r="L18" s="1391"/>
      <c r="M18" s="1392"/>
      <c r="N18" s="857"/>
      <c r="O18" s="858"/>
      <c r="P18" s="854"/>
      <c r="Q18" s="854"/>
    </row>
    <row r="19" spans="1:17" s="398" customFormat="1" ht="16.899999999999999" customHeight="1">
      <c r="A19" s="458"/>
      <c r="B19" s="841" t="s">
        <v>978</v>
      </c>
      <c r="C19" s="842"/>
      <c r="D19" s="842"/>
      <c r="E19" s="721"/>
      <c r="H19" s="1442"/>
      <c r="I19" s="1443"/>
      <c r="J19" s="1443"/>
      <c r="K19" s="1444"/>
      <c r="L19" s="1391"/>
      <c r="M19" s="1392"/>
      <c r="N19" s="857"/>
      <c r="O19" s="858"/>
      <c r="P19" s="854"/>
      <c r="Q19" s="854"/>
    </row>
    <row r="20" spans="1:17" s="398" customFormat="1" ht="16.899999999999999" customHeight="1">
      <c r="A20" s="458"/>
      <c r="B20" s="841" t="s">
        <v>1385</v>
      </c>
      <c r="C20" s="842"/>
      <c r="D20" s="842"/>
      <c r="E20" s="721"/>
      <c r="H20" s="1442" t="s">
        <v>4006</v>
      </c>
      <c r="I20" s="1443"/>
      <c r="J20" s="1443"/>
      <c r="K20" s="1444"/>
      <c r="L20" s="1391">
        <v>4193405</v>
      </c>
      <c r="M20" s="1392"/>
      <c r="N20" s="458"/>
      <c r="O20" s="458"/>
      <c r="P20" s="458"/>
      <c r="Q20" s="458"/>
    </row>
    <row r="21" spans="1:17" s="398" customFormat="1" ht="16.899999999999999" customHeight="1">
      <c r="A21" s="458"/>
      <c r="B21" s="841" t="s">
        <v>1386</v>
      </c>
      <c r="C21" s="842"/>
      <c r="D21" s="842"/>
      <c r="E21" s="721"/>
      <c r="H21" s="1442" t="s">
        <v>4006</v>
      </c>
      <c r="I21" s="1443"/>
      <c r="J21" s="1443"/>
      <c r="K21" s="1444"/>
      <c r="L21" s="1391">
        <v>1397561</v>
      </c>
      <c r="M21" s="1392"/>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309</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309</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1999</v>
      </c>
      <c r="C25" s="458"/>
      <c r="D25" s="458"/>
      <c r="E25" s="458"/>
      <c r="F25" s="458"/>
      <c r="G25" s="458"/>
      <c r="H25" s="458"/>
      <c r="I25" s="458"/>
      <c r="L25" s="868">
        <f>SUM(L14:L24)</f>
        <v>7250966</v>
      </c>
      <c r="M25" s="869"/>
      <c r="N25" s="482"/>
      <c r="O25" s="482"/>
      <c r="P25" s="482"/>
      <c r="Q25" s="482"/>
    </row>
    <row r="26" spans="1:17" s="398" customFormat="1" ht="16.899999999999999" customHeight="1">
      <c r="A26" s="458"/>
      <c r="B26" s="714"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7250966</v>
      </c>
      <c r="M26" s="869"/>
      <c r="N26" s="864"/>
      <c r="O26" s="865"/>
      <c r="P26" s="865"/>
      <c r="Q26" s="865"/>
    </row>
    <row r="27" spans="1:17" s="398" customFormat="1" ht="16.899999999999999" customHeight="1">
      <c r="A27" s="458"/>
      <c r="B27" s="464" t="s">
        <v>3261</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1232</v>
      </c>
      <c r="B29" s="395" t="s">
        <v>1383</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3195</v>
      </c>
      <c r="K30" s="719" t="s">
        <v>1996</v>
      </c>
      <c r="L30" s="719" t="s">
        <v>2001</v>
      </c>
      <c r="M30" s="777" t="s">
        <v>40</v>
      </c>
      <c r="N30" s="777"/>
      <c r="O30" s="713"/>
      <c r="P30" s="719"/>
      <c r="Q30" s="844" t="s">
        <v>3492</v>
      </c>
    </row>
    <row r="31" spans="1:17" s="398" customFormat="1" ht="13.15" customHeight="1" thickBot="1">
      <c r="A31" s="458"/>
      <c r="B31" s="718" t="s">
        <v>2927</v>
      </c>
      <c r="C31" s="727"/>
      <c r="D31" s="727"/>
      <c r="E31" s="842" t="s">
        <v>1998</v>
      </c>
      <c r="F31" s="842"/>
      <c r="G31" s="842"/>
      <c r="H31" s="782" t="s">
        <v>720</v>
      </c>
      <c r="I31" s="782"/>
      <c r="J31" s="717" t="s">
        <v>2844</v>
      </c>
      <c r="K31" s="717" t="s">
        <v>3332</v>
      </c>
      <c r="L31" s="717" t="s">
        <v>3332</v>
      </c>
      <c r="M31" s="1452"/>
      <c r="N31" s="1452"/>
      <c r="O31" s="782" t="s">
        <v>84</v>
      </c>
      <c r="P31" s="782"/>
      <c r="Q31" s="845"/>
    </row>
    <row r="32" spans="1:17" s="398" customFormat="1" ht="13.15" customHeight="1" thickBot="1">
      <c r="A32" s="458"/>
      <c r="B32" s="839" t="str">
        <f>IF(E32 ="&lt;&lt;Select applicable option&gt;&gt;", "Make a selection FIRST --&gt;",IF(E32 = "Neither","N/A","Mortgage A"))</f>
        <v>Make a selection FIRST --&gt;</v>
      </c>
      <c r="C32" s="840"/>
      <c r="D32" s="840"/>
      <c r="E32" s="1453" t="s">
        <v>365</v>
      </c>
      <c r="F32" s="1454"/>
      <c r="G32" s="1455"/>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3018</v>
      </c>
      <c r="P32" s="874"/>
      <c r="Q32" s="1456" t="s">
        <v>2761</v>
      </c>
    </row>
    <row r="33" spans="1:19" s="398" customFormat="1" ht="13.15" customHeight="1">
      <c r="A33" s="458"/>
      <c r="B33" s="841" t="str">
        <f>IF(OR(E32 = "Neither",E32 = "&lt;&lt;Select applicable option&gt;&gt;"), "Mortgage A","Mortgage B")</f>
        <v>Mortgage A</v>
      </c>
      <c r="C33" s="842"/>
      <c r="D33" s="843"/>
      <c r="E33" s="1457" t="s">
        <v>3975</v>
      </c>
      <c r="F33" s="1458"/>
      <c r="G33" s="1459"/>
      <c r="H33" s="1460">
        <v>1660000</v>
      </c>
      <c r="I33" s="1461"/>
      <c r="J33" s="1462">
        <v>0.01</v>
      </c>
      <c r="K33" s="1439">
        <v>20</v>
      </c>
      <c r="L33" s="1439">
        <v>20</v>
      </c>
      <c r="M33" s="1463" t="str">
        <f>IF(OR(H33&lt;=0,H33=""),"",IF(O33="Amortizing",-PMT(J33/12,L33*12,H33,0,0)*12,""))</f>
        <v/>
      </c>
      <c r="N33" s="1464"/>
      <c r="O33" s="1402" t="s">
        <v>4019</v>
      </c>
      <c r="P33" s="1403"/>
      <c r="Q33" s="1465">
        <v>1.2</v>
      </c>
    </row>
    <row r="34" spans="1:19" s="398" customFormat="1" ht="13.15" customHeight="1">
      <c r="A34" s="458"/>
      <c r="B34" s="720" t="str">
        <f>IF(OR(E32 = "Neither",E32 = "&lt;&lt;Select applicable option&gt;&gt;"), "Mortgage B","Mortgage C")</f>
        <v>Mortgage B</v>
      </c>
      <c r="C34" s="721"/>
      <c r="D34" s="722"/>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20" t="s">
        <v>1231</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2086</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292</v>
      </c>
      <c r="C37" s="727"/>
      <c r="D37" s="555">
        <f>IF(OR(H37="",H37=0,'Part IV-Uses of Funds'!$G$109="",'Part IV-Uses of Funds'!$G$109=0),"",H37/'Part IV-Uses of Funds'!$G$109)</f>
        <v>2.0935096478208071E-2</v>
      </c>
      <c r="E37" s="1442" t="s">
        <v>3976</v>
      </c>
      <c r="F37" s="1466"/>
      <c r="G37" s="1461"/>
      <c r="H37" s="1460">
        <v>21721</v>
      </c>
      <c r="I37" s="1461"/>
      <c r="J37" s="1462"/>
      <c r="K37" s="1439"/>
      <c r="L37" s="1439"/>
      <c r="M37" s="1463" t="str">
        <f>IF(OR(H37&lt;=0,H37=""),"",IF(O37="Amortizing",-PMT(J37/12,L37*12,H37,0,0)*12,""))</f>
        <v/>
      </c>
      <c r="N37" s="1464"/>
      <c r="O37" s="1402"/>
      <c r="P37" s="1403"/>
      <c r="Q37" s="1465"/>
    </row>
    <row r="38" spans="1:19" s="398" customFormat="1" ht="13.15" customHeight="1">
      <c r="A38" s="458"/>
      <c r="B38" s="839" t="s">
        <v>3333</v>
      </c>
      <c r="C38" s="840"/>
      <c r="D38" s="863"/>
      <c r="E38" s="1442"/>
      <c r="F38" s="1466"/>
      <c r="G38" s="1461"/>
      <c r="H38" s="1467"/>
      <c r="I38" s="1468"/>
      <c r="K38" s="556"/>
      <c r="L38" s="556"/>
      <c r="M38" s="556"/>
      <c r="N38" s="556"/>
      <c r="O38" s="556"/>
      <c r="P38" s="556"/>
      <c r="Q38" s="556"/>
      <c r="S38" s="648" t="s">
        <v>809</v>
      </c>
    </row>
    <row r="39" spans="1:19" s="398" customFormat="1" ht="13.15" customHeight="1">
      <c r="A39" s="458"/>
      <c r="B39" s="841" t="s">
        <v>1384</v>
      </c>
      <c r="C39" s="842"/>
      <c r="D39" s="843"/>
      <c r="E39" s="1442"/>
      <c r="F39" s="1466"/>
      <c r="G39" s="1461"/>
      <c r="H39" s="1467"/>
      <c r="I39" s="1468"/>
      <c r="J39" s="846" t="s">
        <v>810</v>
      </c>
      <c r="K39" s="847"/>
      <c r="L39" s="652" t="s">
        <v>811</v>
      </c>
      <c r="M39" s="557"/>
      <c r="N39" s="557"/>
      <c r="O39" s="557"/>
      <c r="P39" s="557"/>
      <c r="Q39" s="556"/>
      <c r="S39" s="649" t="s">
        <v>3865</v>
      </c>
    </row>
    <row r="40" spans="1:19" s="398" customFormat="1" ht="13.15" customHeight="1">
      <c r="A40" s="458"/>
      <c r="B40" s="841" t="s">
        <v>1385</v>
      </c>
      <c r="C40" s="842"/>
      <c r="D40" s="843"/>
      <c r="E40" s="1442" t="s">
        <v>4006</v>
      </c>
      <c r="F40" s="1443"/>
      <c r="G40" s="1444"/>
      <c r="H40" s="1460">
        <v>5376160</v>
      </c>
      <c r="I40" s="1469"/>
      <c r="J40" s="848">
        <f>'Part IV-Uses of Funds'!$J$165*10*'Part IV-Uses of Funds'!$N$158</f>
        <v>5376159.9206999997</v>
      </c>
      <c r="K40" s="849"/>
      <c r="L40" s="653">
        <f>H40-J40</f>
        <v>7.9300000332295895E-2</v>
      </c>
      <c r="M40" s="835" t="s">
        <v>2538</v>
      </c>
      <c r="N40" s="850"/>
      <c r="O40" s="850"/>
      <c r="P40" s="850"/>
      <c r="Q40" s="851"/>
      <c r="S40" s="650">
        <f>H40/H50</f>
        <v>0.61773832918934712</v>
      </c>
    </row>
    <row r="41" spans="1:19" s="398" customFormat="1" ht="13.15" customHeight="1">
      <c r="A41" s="458"/>
      <c r="B41" s="841" t="s">
        <v>1386</v>
      </c>
      <c r="C41" s="842"/>
      <c r="D41" s="843"/>
      <c r="E41" s="1442" t="s">
        <v>4006</v>
      </c>
      <c r="F41" s="1443"/>
      <c r="G41" s="1444"/>
      <c r="H41" s="1460">
        <v>1645092</v>
      </c>
      <c r="I41" s="1469"/>
      <c r="J41" s="848">
        <f>'Part IV-Uses of Funds'!$J$165*10*'Part IV-Uses of Funds'!$Q$158</f>
        <v>1645091.7749999999</v>
      </c>
      <c r="K41" s="849"/>
      <c r="L41" s="653">
        <f>H41-J41</f>
        <v>0.22500000009313226</v>
      </c>
      <c r="M41" s="852"/>
      <c r="N41" s="845"/>
      <c r="O41" s="845"/>
      <c r="P41" s="845"/>
      <c r="Q41" s="853"/>
      <c r="S41" s="650">
        <f>H41/H50</f>
        <v>0.18902643958564505</v>
      </c>
    </row>
    <row r="42" spans="1:19" s="398" customFormat="1" ht="13.15" customHeight="1">
      <c r="A42" s="458"/>
      <c r="B42" s="841" t="s">
        <v>2121</v>
      </c>
      <c r="C42" s="842"/>
      <c r="D42" s="843"/>
      <c r="E42" s="1442"/>
      <c r="F42" s="1443"/>
      <c r="G42" s="1444"/>
      <c r="H42" s="1460"/>
      <c r="I42" s="1469"/>
      <c r="M42" s="558" t="s">
        <v>3022</v>
      </c>
      <c r="N42" s="559" t="s">
        <v>3023</v>
      </c>
      <c r="O42" s="558">
        <v>8</v>
      </c>
      <c r="P42" s="558">
        <v>9</v>
      </c>
      <c r="Q42" s="558">
        <v>10</v>
      </c>
      <c r="S42" s="651">
        <f>SUM(S40:S41)</f>
        <v>0.80676476877499215</v>
      </c>
    </row>
    <row r="43" spans="1:19" s="398" customFormat="1" ht="13.15" customHeight="1">
      <c r="A43" s="458"/>
      <c r="B43" s="720" t="s">
        <v>825</v>
      </c>
      <c r="C43" s="721"/>
      <c r="D43" s="722"/>
      <c r="E43" s="1442"/>
      <c r="F43" s="1443"/>
      <c r="G43" s="1444"/>
      <c r="H43" s="1460"/>
      <c r="I43" s="1469"/>
      <c r="K43" s="458"/>
      <c r="L43" s="458"/>
      <c r="M43" s="558" t="s">
        <v>3024</v>
      </c>
      <c r="N43" s="1462">
        <v>0.01</v>
      </c>
      <c r="O43" s="1462">
        <v>0.01</v>
      </c>
      <c r="P43" s="1462">
        <v>0.01</v>
      </c>
      <c r="Q43" s="1462">
        <v>0.01</v>
      </c>
      <c r="S43" s="458"/>
    </row>
    <row r="44" spans="1:19" s="398" customFormat="1" ht="13.15" customHeight="1">
      <c r="A44" s="458"/>
      <c r="B44" s="720" t="s">
        <v>2925</v>
      </c>
      <c r="C44" s="721"/>
      <c r="D44" s="722"/>
      <c r="E44" s="1442"/>
      <c r="F44" s="1443"/>
      <c r="G44" s="1444"/>
      <c r="H44" s="1460"/>
      <c r="I44" s="1469"/>
      <c r="J44" s="458"/>
      <c r="M44" s="560">
        <v>11</v>
      </c>
      <c r="N44" s="560">
        <v>12</v>
      </c>
      <c r="O44" s="713">
        <v>13</v>
      </c>
      <c r="P44" s="558">
        <v>14</v>
      </c>
      <c r="Q44" s="558">
        <v>15</v>
      </c>
    </row>
    <row r="45" spans="1:19" s="398" customFormat="1" ht="13.15" customHeight="1">
      <c r="A45" s="458"/>
      <c r="B45" s="720" t="s">
        <v>2926</v>
      </c>
      <c r="C45" s="721"/>
      <c r="D45" s="722"/>
      <c r="E45" s="1442"/>
      <c r="F45" s="1443"/>
      <c r="G45" s="1444"/>
      <c r="H45" s="1460"/>
      <c r="I45" s="1469"/>
      <c r="J45" s="458"/>
      <c r="M45" s="1462">
        <v>0.01</v>
      </c>
      <c r="N45" s="1462">
        <v>0.01</v>
      </c>
      <c r="O45" s="1462">
        <v>0.01</v>
      </c>
      <c r="P45" s="1462">
        <v>0.01</v>
      </c>
      <c r="Q45" s="1462">
        <v>0.01</v>
      </c>
    </row>
    <row r="46" spans="1:19" s="398" customFormat="1" ht="13.15" customHeight="1">
      <c r="A46" s="458"/>
      <c r="B46" s="720" t="s">
        <v>1231</v>
      </c>
      <c r="C46" s="1442"/>
      <c r="D46" s="1444"/>
      <c r="E46" s="1442"/>
      <c r="F46" s="1443"/>
      <c r="G46" s="1444"/>
      <c r="H46" s="1460"/>
      <c r="I46" s="1469"/>
      <c r="J46" s="458"/>
      <c r="M46" s="558">
        <v>16</v>
      </c>
      <c r="N46" s="558">
        <v>17</v>
      </c>
      <c r="O46" s="558">
        <v>18</v>
      </c>
      <c r="P46" s="719">
        <v>19</v>
      </c>
      <c r="Q46" s="719">
        <v>20</v>
      </c>
    </row>
    <row r="47" spans="1:19" s="398" customFormat="1" ht="13.15" customHeight="1">
      <c r="A47" s="458"/>
      <c r="B47" s="720" t="s">
        <v>1231</v>
      </c>
      <c r="C47" s="1442"/>
      <c r="D47" s="1444"/>
      <c r="E47" s="1442"/>
      <c r="F47" s="1443"/>
      <c r="G47" s="1444"/>
      <c r="H47" s="1460"/>
      <c r="I47" s="1469"/>
      <c r="J47" s="458"/>
      <c r="K47" s="458"/>
      <c r="L47" s="558"/>
      <c r="M47" s="1462">
        <v>0.01</v>
      </c>
      <c r="N47" s="1462">
        <v>0.01</v>
      </c>
      <c r="O47" s="1462">
        <v>0.01</v>
      </c>
      <c r="P47" s="1462">
        <v>0.01</v>
      </c>
      <c r="Q47" s="1462">
        <v>0.01</v>
      </c>
    </row>
    <row r="48" spans="1:19" s="398" customFormat="1" ht="13.15" customHeight="1">
      <c r="A48" s="458"/>
      <c r="B48" s="726" t="s">
        <v>1231</v>
      </c>
      <c r="C48" s="1442"/>
      <c r="D48" s="1444"/>
      <c r="E48" s="1442"/>
      <c r="F48" s="1443"/>
      <c r="G48" s="1444"/>
      <c r="H48" s="1460"/>
      <c r="I48" s="1469"/>
      <c r="J48" s="458"/>
      <c r="K48" s="458"/>
      <c r="L48" s="558"/>
      <c r="M48" s="719">
        <v>21</v>
      </c>
      <c r="N48" s="719">
        <v>22</v>
      </c>
      <c r="O48" s="719">
        <v>23</v>
      </c>
      <c r="P48" s="719">
        <v>24</v>
      </c>
      <c r="Q48" s="719">
        <v>25</v>
      </c>
    </row>
    <row r="49" spans="1:17" s="398" customFormat="1" ht="13.15" customHeight="1">
      <c r="A49" s="458"/>
      <c r="B49" s="714" t="s">
        <v>3334</v>
      </c>
      <c r="C49" s="458"/>
      <c r="D49" s="458"/>
      <c r="E49" s="458"/>
      <c r="F49" s="458"/>
      <c r="G49" s="458"/>
      <c r="H49" s="877">
        <f>SUM(H32:I48)</f>
        <v>8702973</v>
      </c>
      <c r="I49" s="878"/>
      <c r="J49" s="482"/>
      <c r="K49" s="458"/>
      <c r="L49" s="558"/>
      <c r="M49" s="1462">
        <v>0.01</v>
      </c>
      <c r="N49" s="1462">
        <v>0.01</v>
      </c>
      <c r="O49" s="1462">
        <v>0.01</v>
      </c>
      <c r="P49" s="1462">
        <v>0.01</v>
      </c>
      <c r="Q49" s="1462">
        <v>0.01</v>
      </c>
    </row>
    <row r="50" spans="1:17" s="398" customFormat="1" ht="13.15" customHeight="1" thickBot="1">
      <c r="A50" s="458"/>
      <c r="B50" s="714" t="s">
        <v>3335</v>
      </c>
      <c r="C50" s="458"/>
      <c r="D50" s="458"/>
      <c r="E50" s="458"/>
      <c r="F50" s="458"/>
      <c r="G50" s="458"/>
      <c r="H50" s="875">
        <f>'Part IV-Uses of Funds'!$G$123</f>
        <v>8702973</v>
      </c>
      <c r="I50" s="876"/>
      <c r="J50" s="482"/>
      <c r="K50" s="458"/>
      <c r="L50" s="558"/>
      <c r="M50" s="719">
        <v>26</v>
      </c>
      <c r="N50" s="719">
        <v>27</v>
      </c>
      <c r="O50" s="719">
        <v>28</v>
      </c>
      <c r="P50" s="719">
        <v>29</v>
      </c>
      <c r="Q50" s="719">
        <v>30</v>
      </c>
    </row>
    <row r="51" spans="1:17" s="398" customFormat="1" ht="13.15" customHeight="1" thickBot="1">
      <c r="A51" s="458"/>
      <c r="B51" s="464" t="s">
        <v>2277</v>
      </c>
      <c r="C51" s="458"/>
      <c r="D51" s="458"/>
      <c r="E51" s="458"/>
      <c r="F51" s="458"/>
      <c r="G51" s="458"/>
      <c r="H51" s="861">
        <f>H49-H50</f>
        <v>0</v>
      </c>
      <c r="I51" s="862"/>
      <c r="J51" s="482"/>
      <c r="K51" s="458"/>
      <c r="L51" s="558"/>
      <c r="M51" s="1462">
        <v>0.01</v>
      </c>
      <c r="N51" s="1462">
        <v>0.01</v>
      </c>
      <c r="O51" s="1462">
        <v>0.01</v>
      </c>
      <c r="P51" s="1462">
        <v>0.01</v>
      </c>
      <c r="Q51" s="1462">
        <v>0.01</v>
      </c>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2824</v>
      </c>
      <c r="B53" s="461" t="s">
        <v>880</v>
      </c>
      <c r="C53" s="482"/>
      <c r="D53" s="482"/>
      <c r="E53" s="482"/>
      <c r="F53" s="482"/>
      <c r="G53" s="482"/>
      <c r="H53" s="482"/>
      <c r="I53" s="482"/>
      <c r="J53" s="482"/>
      <c r="K53" s="461" t="s">
        <v>2824</v>
      </c>
      <c r="L53" s="461" t="s">
        <v>89</v>
      </c>
      <c r="M53" s="482"/>
      <c r="N53" s="482"/>
      <c r="O53" s="482"/>
      <c r="P53" s="482"/>
      <c r="Q53" s="482"/>
    </row>
    <row r="54" spans="1:17" ht="5.4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31" sqref="C3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2011-020 Heritage Vista Apartments, Milledgeville, Baldwin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3386</v>
      </c>
      <c r="B5" s="42"/>
      <c r="C5" s="1436"/>
      <c r="D5" s="374">
        <f>IF(C5&gt;1500000,1500000,0)</f>
        <v>0</v>
      </c>
      <c r="E5" s="375">
        <f>IF(C5&gt;1500000,C5-1500000,0)</f>
        <v>0</v>
      </c>
    </row>
    <row r="6" spans="1:17">
      <c r="A6" s="42" t="s">
        <v>3736</v>
      </c>
      <c r="B6" s="300" t="s">
        <v>746</v>
      </c>
      <c r="C6" s="376">
        <v>0</v>
      </c>
      <c r="D6" s="160" t="s">
        <v>747</v>
      </c>
      <c r="E6" s="42"/>
    </row>
    <row r="7" spans="1:17">
      <c r="A7" s="42"/>
      <c r="B7" s="300" t="s">
        <v>3752</v>
      </c>
      <c r="C7" s="1437"/>
      <c r="D7" s="160" t="s">
        <v>2660</v>
      </c>
      <c r="E7" s="42"/>
    </row>
    <row r="8" spans="1:17" ht="13.15" customHeight="1">
      <c r="A8" s="42" t="s">
        <v>3740</v>
      </c>
      <c r="B8" s="42"/>
      <c r="C8" s="376">
        <v>0</v>
      </c>
      <c r="D8" s="160" t="s">
        <v>2661</v>
      </c>
      <c r="E8" s="42"/>
    </row>
    <row r="9" spans="1:17">
      <c r="A9" s="42" t="s">
        <v>2094</v>
      </c>
      <c r="B9" s="42"/>
      <c r="C9" s="1438"/>
      <c r="D9" s="42"/>
      <c r="E9" s="42"/>
    </row>
    <row r="10" spans="1:17">
      <c r="A10" s="42" t="s">
        <v>2095</v>
      </c>
      <c r="B10" s="42"/>
      <c r="C10" s="1438"/>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3754</v>
      </c>
      <c r="B16" s="731" t="s">
        <v>3750</v>
      </c>
      <c r="C16" s="731" t="s">
        <v>3751</v>
      </c>
      <c r="D16" s="890" t="s">
        <v>3385</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2011-020 Heritage Vista Apartments, Milledgeville, Baldwin County</v>
      </c>
      <c r="B58" s="882"/>
      <c r="C58" s="882"/>
      <c r="D58" s="882"/>
      <c r="E58" s="882"/>
      <c r="F58" s="882"/>
      <c r="G58" s="882" t="str">
        <f>CONCATENATE('Part I-Project Information'!$O$4," ",'Part I-Project Information'!$F$22,", ",'Part I-Project Information'!$F$24,", ",'Part I-Project Information'!$J$25," County")</f>
        <v>2011-020 Heritage Vista Apartments, Milledgeville, Baldwin County</v>
      </c>
      <c r="H58" s="882"/>
      <c r="I58" s="882"/>
      <c r="J58" s="882"/>
      <c r="K58" s="882"/>
      <c r="L58" s="882"/>
    </row>
    <row r="59" spans="1:12" ht="15">
      <c r="A59" s="879" t="s">
        <v>3744</v>
      </c>
      <c r="B59" s="879"/>
      <c r="C59" s="879"/>
      <c r="D59" s="879"/>
      <c r="E59" s="879"/>
      <c r="F59" s="879"/>
      <c r="G59" s="879" t="s">
        <v>3744</v>
      </c>
      <c r="H59" s="879"/>
      <c r="I59" s="879"/>
      <c r="J59" s="879"/>
      <c r="K59" s="879"/>
      <c r="L59" s="879"/>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6" workbookViewId="0">
      <selection activeCell="C31" sqref="C3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2011-020 Heritage Vista Apartments, Milledgeville, Baldwin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3386</v>
      </c>
      <c r="D5" s="1432"/>
      <c r="E5" s="891" t="s">
        <v>1553</v>
      </c>
      <c r="F5" s="892"/>
      <c r="G5" s="219"/>
    </row>
    <row r="6" spans="1:17">
      <c r="E6" s="892"/>
      <c r="F6" s="892"/>
      <c r="G6" s="219"/>
    </row>
    <row r="7" spans="1:17">
      <c r="A7" s="31" t="s">
        <v>3736</v>
      </c>
      <c r="C7" s="31" t="s">
        <v>3737</v>
      </c>
      <c r="D7" s="1433"/>
      <c r="E7" s="892"/>
      <c r="F7" s="892"/>
      <c r="G7" s="219"/>
    </row>
    <row r="8" spans="1:17">
      <c r="C8" s="31" t="s">
        <v>3738</v>
      </c>
      <c r="D8" s="1433"/>
      <c r="E8" s="892"/>
      <c r="F8" s="892"/>
      <c r="G8" s="219"/>
    </row>
    <row r="9" spans="1:17">
      <c r="C9" s="31" t="s">
        <v>3739</v>
      </c>
      <c r="D9" s="1433"/>
      <c r="E9" s="892"/>
      <c r="F9" s="892"/>
      <c r="G9" s="219"/>
    </row>
    <row r="10" spans="1:17">
      <c r="C10" s="31" t="s">
        <v>3752</v>
      </c>
      <c r="D10" s="318">
        <f>D7+D8+D9</f>
        <v>0</v>
      </c>
      <c r="E10" s="892"/>
      <c r="F10" s="892"/>
      <c r="G10" s="219"/>
    </row>
    <row r="11" spans="1:17">
      <c r="F11" s="219"/>
      <c r="G11" s="219"/>
    </row>
    <row r="12" spans="1:17">
      <c r="A12" s="31" t="s">
        <v>2742</v>
      </c>
      <c r="D12" s="1434"/>
      <c r="E12" s="31" t="s">
        <v>3231</v>
      </c>
      <c r="F12" s="219"/>
      <c r="G12" s="219"/>
    </row>
    <row r="13" spans="1:17">
      <c r="D13" s="273"/>
      <c r="F13" s="219"/>
      <c r="G13" s="219"/>
    </row>
    <row r="14" spans="1:17">
      <c r="A14" s="31" t="s">
        <v>3741</v>
      </c>
      <c r="D14" s="1435"/>
      <c r="E14" s="31" t="s">
        <v>3742</v>
      </c>
      <c r="F14" s="319"/>
    </row>
    <row r="15" spans="1:17">
      <c r="D15" s="292"/>
      <c r="F15" s="319"/>
    </row>
    <row r="16" spans="1:17">
      <c r="A16" s="31" t="s">
        <v>3743</v>
      </c>
      <c r="D16" s="1435"/>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2011-020 Heritage Vista Apartments, Milledgeville, Baldwin County</v>
      </c>
      <c r="B50" s="882"/>
      <c r="C50" s="882"/>
      <c r="D50" s="882"/>
      <c r="E50" s="882"/>
      <c r="F50" s="882"/>
      <c r="G50" s="300"/>
      <c r="H50" s="300"/>
    </row>
    <row r="51" spans="1:10" ht="15">
      <c r="A51" s="879" t="s">
        <v>3744</v>
      </c>
      <c r="B51" s="879"/>
      <c r="C51" s="879"/>
      <c r="D51" s="879"/>
      <c r="E51" s="879"/>
      <c r="F51" s="879"/>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31" zoomScale="85" zoomScaleNormal="85" zoomScaleSheetLayoutView="90" workbookViewId="0">
      <selection activeCell="C31" sqref="C31"/>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2011-020 Heritage Vista Apartments, Milledgeville, Baldwin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951</v>
      </c>
      <c r="B5" s="461" t="s">
        <v>1495</v>
      </c>
      <c r="H5" s="721"/>
      <c r="I5" s="721"/>
      <c r="J5" s="900" t="s">
        <v>359</v>
      </c>
      <c r="K5" s="901"/>
      <c r="L5" s="522"/>
      <c r="M5" s="910" t="s">
        <v>721</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3079</v>
      </c>
      <c r="G8" s="1391">
        <v>10000</v>
      </c>
      <c r="H8" s="1392"/>
      <c r="J8" s="1391">
        <v>10000</v>
      </c>
      <c r="K8" s="1392"/>
      <c r="L8" s="733"/>
      <c r="M8" s="1391"/>
      <c r="N8" s="1392"/>
      <c r="P8" s="1391"/>
      <c r="Q8" s="1392"/>
      <c r="S8" s="1391"/>
      <c r="T8" s="1392"/>
    </row>
    <row r="9" spans="1:21" s="458" customFormat="1" ht="12.6" customHeight="1">
      <c r="B9" s="458" t="s">
        <v>672</v>
      </c>
      <c r="G9" s="1391">
        <v>5000</v>
      </c>
      <c r="H9" s="1392"/>
      <c r="J9" s="1391">
        <v>5000</v>
      </c>
      <c r="K9" s="1392"/>
      <c r="L9" s="733"/>
      <c r="M9" s="1391"/>
      <c r="N9" s="1392"/>
      <c r="P9" s="1391"/>
      <c r="Q9" s="1392"/>
      <c r="S9" s="1391"/>
      <c r="T9" s="1392"/>
    </row>
    <row r="10" spans="1:21" s="458" customFormat="1" ht="12.6" customHeight="1">
      <c r="B10" s="458" t="s">
        <v>718</v>
      </c>
      <c r="G10" s="1391">
        <v>8250</v>
      </c>
      <c r="H10" s="1392"/>
      <c r="J10" s="1391">
        <v>8250</v>
      </c>
      <c r="K10" s="1392"/>
      <c r="L10" s="733"/>
      <c r="M10" s="1391"/>
      <c r="N10" s="1392"/>
      <c r="P10" s="1391"/>
      <c r="Q10" s="1392"/>
      <c r="S10" s="1391"/>
      <c r="T10" s="1392"/>
    </row>
    <row r="11" spans="1:21" s="458" customFormat="1" ht="12.6" customHeight="1">
      <c r="B11" s="458" t="s">
        <v>719</v>
      </c>
      <c r="G11" s="1391">
        <v>5000</v>
      </c>
      <c r="H11" s="1392"/>
      <c r="J11" s="1391">
        <v>5000</v>
      </c>
      <c r="K11" s="1392"/>
      <c r="L11" s="733"/>
      <c r="M11" s="1391"/>
      <c r="N11" s="1392"/>
      <c r="P11" s="1391"/>
      <c r="Q11" s="1392"/>
      <c r="S11" s="1391"/>
      <c r="T11" s="1392"/>
    </row>
    <row r="12" spans="1:21" s="458" customFormat="1" ht="12.6" customHeight="1">
      <c r="B12" s="458" t="s">
        <v>3780</v>
      </c>
      <c r="G12" s="1391">
        <v>13500</v>
      </c>
      <c r="H12" s="1392"/>
      <c r="J12" s="1391"/>
      <c r="K12" s="1392"/>
      <c r="L12" s="733"/>
      <c r="M12" s="1391"/>
      <c r="N12" s="1392"/>
      <c r="P12" s="1391"/>
      <c r="Q12" s="1392"/>
      <c r="S12" s="1391">
        <v>13500</v>
      </c>
      <c r="T12" s="1392"/>
    </row>
    <row r="13" spans="1:21" s="458" customFormat="1" ht="12.6" customHeight="1">
      <c r="B13" s="458" t="s">
        <v>248</v>
      </c>
      <c r="G13" s="1391"/>
      <c r="H13" s="1392"/>
      <c r="J13" s="1391"/>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1231</v>
      </c>
      <c r="C14" s="1393"/>
      <c r="D14" s="1393"/>
      <c r="E14" s="1393"/>
      <c r="F14" s="1394"/>
      <c r="G14" s="1391"/>
      <c r="H14" s="1392"/>
      <c r="J14" s="1391"/>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3" t="s">
        <v>3660</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3" t="s">
        <v>3660</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41750</v>
      </c>
      <c r="H17" s="899"/>
      <c r="J17" s="898">
        <f>SUM(J8:K16)</f>
        <v>28250</v>
      </c>
      <c r="K17" s="922"/>
      <c r="L17" s="733"/>
      <c r="M17" s="898">
        <f>SUM(M8:N16)</f>
        <v>0</v>
      </c>
      <c r="N17" s="899"/>
      <c r="P17" s="898">
        <f>SUM(P8:Q16)</f>
        <v>0</v>
      </c>
      <c r="Q17" s="899"/>
      <c r="S17" s="898">
        <f>SUM(S8:T16)</f>
        <v>13500</v>
      </c>
      <c r="T17" s="899"/>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1">
        <v>748500</v>
      </c>
      <c r="H19" s="1392"/>
      <c r="J19" s="525"/>
      <c r="K19" s="522"/>
      <c r="L19" s="525"/>
      <c r="M19" s="525"/>
      <c r="N19" s="522"/>
      <c r="P19" s="525"/>
      <c r="Q19" s="522"/>
      <c r="S19" s="1391">
        <v>748500</v>
      </c>
      <c r="T19" s="1392"/>
    </row>
    <row r="20" spans="2:20" s="458" customFormat="1" ht="12.6" customHeight="1">
      <c r="B20" s="458" t="s">
        <v>1751</v>
      </c>
      <c r="G20" s="1391"/>
      <c r="H20" s="1392"/>
      <c r="J20" s="525"/>
      <c r="K20" s="522"/>
      <c r="L20" s="525"/>
      <c r="M20" s="525"/>
      <c r="N20" s="522"/>
      <c r="P20" s="525"/>
      <c r="Q20" s="522"/>
      <c r="S20" s="1391"/>
      <c r="T20" s="1392"/>
    </row>
    <row r="21" spans="2:20" s="458" customFormat="1" ht="12.6" customHeight="1">
      <c r="B21" s="458" t="s">
        <v>673</v>
      </c>
      <c r="G21" s="1391"/>
      <c r="H21" s="1392"/>
      <c r="J21" s="525"/>
      <c r="K21" s="522"/>
      <c r="L21" s="525"/>
      <c r="M21" s="1391"/>
      <c r="N21" s="1392"/>
      <c r="P21" s="525"/>
      <c r="Q21" s="522"/>
      <c r="S21" s="1391"/>
      <c r="T21" s="1392"/>
    </row>
    <row r="22" spans="2:20" s="458" customFormat="1" ht="12.6" customHeight="1" thickBot="1">
      <c r="B22" s="458" t="s">
        <v>638</v>
      </c>
      <c r="G22" s="1397"/>
      <c r="H22" s="1398"/>
      <c r="J22" s="525"/>
      <c r="K22" s="522"/>
      <c r="L22" s="525"/>
      <c r="M22" s="1397"/>
      <c r="N22" s="1398"/>
      <c r="P22" s="525"/>
      <c r="Q22" s="522"/>
      <c r="S22" s="1391"/>
      <c r="T22" s="1392"/>
    </row>
    <row r="23" spans="2:20" s="458" customFormat="1" ht="12.6" customHeight="1" thickTop="1">
      <c r="F23" s="523" t="s">
        <v>249</v>
      </c>
      <c r="G23" s="898">
        <f>SUM(G19:H22)</f>
        <v>748500</v>
      </c>
      <c r="H23" s="899"/>
      <c r="J23" s="525"/>
      <c r="K23" s="522"/>
      <c r="L23" s="525"/>
      <c r="M23" s="898">
        <f>SUM(M21:N22)</f>
        <v>0</v>
      </c>
      <c r="N23" s="899"/>
      <c r="P23" s="525"/>
      <c r="Q23" s="522"/>
      <c r="S23" s="898">
        <f>SUM(S19:T22)</f>
        <v>748500</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1">
        <v>384000</v>
      </c>
      <c r="H25" s="1392"/>
      <c r="J25" s="1395">
        <v>384000</v>
      </c>
      <c r="K25" s="1396"/>
      <c r="L25" s="733"/>
      <c r="M25" s="1395"/>
      <c r="N25" s="1396"/>
      <c r="P25" s="1395"/>
      <c r="Q25" s="1396"/>
      <c r="S25" s="1391"/>
      <c r="T25" s="1392"/>
    </row>
    <row r="26" spans="2:20" s="458" customFormat="1" ht="12.6" customHeight="1" thickBot="1">
      <c r="B26" s="458" t="s">
        <v>1754</v>
      </c>
      <c r="G26" s="1391"/>
      <c r="H26" s="1392"/>
      <c r="J26" s="1395"/>
      <c r="K26" s="1396"/>
      <c r="L26" s="526"/>
      <c r="M26" s="916"/>
      <c r="N26" s="916"/>
      <c r="P26" s="916"/>
      <c r="Q26" s="916"/>
      <c r="S26" s="1391"/>
      <c r="T26" s="1392"/>
    </row>
    <row r="27" spans="2:20" s="458" customFormat="1" ht="12.6" customHeight="1" thickTop="1">
      <c r="F27" s="523" t="s">
        <v>249</v>
      </c>
      <c r="G27" s="898">
        <f>SUM(G25:H26)</f>
        <v>384000</v>
      </c>
      <c r="H27" s="899"/>
      <c r="J27" s="898">
        <f>SUM(J25:K26)</f>
        <v>384000</v>
      </c>
      <c r="K27" s="899"/>
      <c r="L27" s="525"/>
      <c r="M27" s="898">
        <f>M25</f>
        <v>0</v>
      </c>
      <c r="N27" s="899"/>
      <c r="P27" s="898">
        <f>P25</f>
        <v>0</v>
      </c>
      <c r="Q27" s="899"/>
      <c r="S27" s="898">
        <f>SUM(S25:T26)</f>
        <v>0</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1">
        <v>4412800</v>
      </c>
      <c r="H29" s="1392"/>
      <c r="J29" s="1391">
        <v>4412800</v>
      </c>
      <c r="K29" s="1392"/>
      <c r="L29" s="733"/>
      <c r="M29" s="1391"/>
      <c r="N29" s="1392"/>
      <c r="P29" s="1391"/>
      <c r="Q29" s="1392"/>
      <c r="S29" s="1391"/>
      <c r="T29" s="1392"/>
    </row>
    <row r="30" spans="2:20" s="458" customFormat="1" ht="12.6" customHeight="1">
      <c r="B30" s="458" t="s">
        <v>1757</v>
      </c>
      <c r="G30" s="1391"/>
      <c r="H30" s="1392"/>
      <c r="J30" s="1391"/>
      <c r="K30" s="1392"/>
      <c r="L30" s="733"/>
      <c r="M30" s="1391"/>
      <c r="N30" s="1392"/>
      <c r="P30" s="1391"/>
      <c r="Q30" s="1392"/>
      <c r="S30" s="1391"/>
      <c r="T30" s="1392"/>
    </row>
    <row r="31" spans="2:20" ht="12.6" customHeight="1" thickBot="1">
      <c r="B31" s="458" t="s">
        <v>1758</v>
      </c>
      <c r="G31" s="1391">
        <v>120000</v>
      </c>
      <c r="H31" s="1392"/>
      <c r="I31" s="458"/>
      <c r="J31" s="1391">
        <v>120000</v>
      </c>
      <c r="K31" s="1392"/>
      <c r="L31" s="733"/>
      <c r="M31" s="1391"/>
      <c r="N31" s="1392"/>
      <c r="O31" s="458"/>
      <c r="P31" s="1391"/>
      <c r="Q31" s="1392"/>
      <c r="R31" s="458"/>
      <c r="S31" s="1391"/>
      <c r="T31" s="1392"/>
    </row>
    <row r="32" spans="2:20" s="458" customFormat="1" ht="12.6" customHeight="1" thickTop="1">
      <c r="C32" s="917"/>
      <c r="D32" s="917"/>
      <c r="E32" s="734"/>
      <c r="F32" s="523" t="s">
        <v>249</v>
      </c>
      <c r="G32" s="898">
        <f>SUM(G29:H31)</f>
        <v>4532800</v>
      </c>
      <c r="H32" s="899"/>
      <c r="J32" s="898">
        <f>SUM(J29:K31)</f>
        <v>4532800</v>
      </c>
      <c r="K32" s="899"/>
      <c r="L32" s="733"/>
      <c r="M32" s="898">
        <f>SUM(M29:N31)</f>
        <v>0</v>
      </c>
      <c r="N32" s="899"/>
      <c r="P32" s="898">
        <f>SUM(P29:Q31)</f>
        <v>0</v>
      </c>
      <c r="Q32" s="899"/>
      <c r="S32" s="898">
        <f>SUM(S29:T31)</f>
        <v>0</v>
      </c>
      <c r="T32" s="899"/>
    </row>
    <row r="33" spans="1:20" s="458" customFormat="1" ht="13.15" customHeight="1">
      <c r="B33" s="461" t="s">
        <v>3493</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295008</v>
      </c>
      <c r="G34" s="1391">
        <v>295008</v>
      </c>
      <c r="H34" s="1392"/>
      <c r="I34" s="482"/>
      <c r="J34" s="1391">
        <v>295008</v>
      </c>
      <c r="K34" s="1392"/>
      <c r="L34" s="733"/>
      <c r="M34" s="1391"/>
      <c r="N34" s="1392"/>
      <c r="P34" s="1391"/>
      <c r="Q34" s="1392"/>
      <c r="S34" s="1391"/>
      <c r="T34" s="1392"/>
    </row>
    <row r="35" spans="1:20" s="458" customFormat="1" ht="12.6" customHeight="1" thickBot="1">
      <c r="B35" s="458" t="s">
        <v>3130</v>
      </c>
      <c r="E35" s="619">
        <f>'DCA Underwriting Assumptions'!$R$39+'DCA Underwriting Assumptions'!$R$40</f>
        <v>0.08</v>
      </c>
      <c r="F35" s="620">
        <f>E35*($G$27+$G$32)</f>
        <v>393344</v>
      </c>
      <c r="G35" s="1391">
        <v>393344</v>
      </c>
      <c r="H35" s="1392"/>
      <c r="I35" s="482"/>
      <c r="J35" s="1391">
        <v>393344</v>
      </c>
      <c r="K35" s="1392"/>
      <c r="L35" s="733"/>
      <c r="M35" s="1391"/>
      <c r="N35" s="1392"/>
      <c r="P35" s="1391"/>
      <c r="Q35" s="1392"/>
      <c r="S35" s="1391"/>
      <c r="T35" s="1392"/>
    </row>
    <row r="36" spans="1:20" s="458" customFormat="1" ht="12.6" customHeight="1" thickTop="1">
      <c r="B36" s="458" t="s">
        <v>3131</v>
      </c>
      <c r="D36" s="530"/>
      <c r="E36" s="721"/>
      <c r="F36" s="621" t="s">
        <v>249</v>
      </c>
      <c r="G36" s="898">
        <f>SUM(G34:H35)</f>
        <v>688352</v>
      </c>
      <c r="H36" s="899"/>
      <c r="J36" s="898">
        <f>SUM(J34:K35)</f>
        <v>688352</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1761</v>
      </c>
      <c r="C38" s="532"/>
      <c r="D38" s="533">
        <f>B39/'Part VI-Revenues &amp; Expenses'!$M$63</f>
        <v>87580.5</v>
      </c>
      <c r="E38" s="533"/>
      <c r="F38" s="534" t="s">
        <v>2111</v>
      </c>
    </row>
    <row r="39" spans="1:20" s="458" customFormat="1" ht="12.6" customHeight="1">
      <c r="B39" s="918">
        <f>G27+G32+G36</f>
        <v>5605152</v>
      </c>
      <c r="C39" s="919"/>
      <c r="D39" s="535">
        <f>B39/'Part VI-Revenues &amp; Expenses'!$M$98</f>
        <v>82.004213483146074</v>
      </c>
      <c r="E39" s="535"/>
      <c r="F39" s="536" t="s">
        <v>1338</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5.0000071362917543E-2</v>
      </c>
      <c r="G42" s="1391">
        <v>280258</v>
      </c>
      <c r="H42" s="1392"/>
      <c r="I42" s="458"/>
      <c r="J42" s="1391"/>
      <c r="K42" s="1392"/>
      <c r="L42" s="733"/>
      <c r="M42" s="1391"/>
      <c r="N42" s="1392"/>
      <c r="O42" s="458"/>
      <c r="P42" s="1391"/>
      <c r="Q42" s="1392"/>
      <c r="R42" s="458"/>
      <c r="S42" s="1391">
        <v>280258</v>
      </c>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951</v>
      </c>
      <c r="B45" s="461" t="s">
        <v>1495</v>
      </c>
      <c r="H45" s="721"/>
      <c r="I45" s="721"/>
      <c r="J45" s="900" t="s">
        <v>359</v>
      </c>
      <c r="K45" s="901"/>
      <c r="L45" s="522"/>
      <c r="M45" s="910" t="s">
        <v>721</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1"/>
      <c r="H48" s="1392"/>
      <c r="J48" s="1391"/>
      <c r="K48" s="1392"/>
      <c r="L48" s="733"/>
      <c r="M48" s="1391"/>
      <c r="N48" s="1392"/>
      <c r="P48" s="1391"/>
      <c r="Q48" s="1392"/>
      <c r="S48" s="1391"/>
      <c r="T48" s="1392"/>
    </row>
    <row r="49" spans="1:21" s="458" customFormat="1" ht="13.15" customHeight="1">
      <c r="B49" s="458" t="s">
        <v>3497</v>
      </c>
      <c r="G49" s="1391"/>
      <c r="H49" s="1392"/>
      <c r="J49" s="1391"/>
      <c r="K49" s="1392"/>
      <c r="L49" s="733"/>
      <c r="M49" s="1391"/>
      <c r="N49" s="1392"/>
      <c r="P49" s="1391"/>
      <c r="Q49" s="1392"/>
      <c r="S49" s="1391"/>
      <c r="T49" s="1392"/>
    </row>
    <row r="50" spans="1:21" s="458" customFormat="1" ht="13.15" customHeight="1">
      <c r="B50" s="458" t="s">
        <v>3498</v>
      </c>
      <c r="G50" s="1391">
        <v>15000</v>
      </c>
      <c r="H50" s="1392"/>
      <c r="J50" s="1391">
        <v>15000</v>
      </c>
      <c r="K50" s="1392"/>
      <c r="L50" s="733"/>
      <c r="M50" s="1391"/>
      <c r="N50" s="1392"/>
      <c r="P50" s="1391"/>
      <c r="Q50" s="1392"/>
      <c r="S50" s="1391"/>
      <c r="T50" s="1392"/>
    </row>
    <row r="51" spans="1:21" s="458" customFormat="1" ht="13.15" customHeight="1">
      <c r="B51" s="458" t="s">
        <v>1093</v>
      </c>
      <c r="G51" s="1391">
        <v>15000</v>
      </c>
      <c r="H51" s="1392"/>
      <c r="J51" s="1391">
        <v>15000</v>
      </c>
      <c r="K51" s="1392"/>
      <c r="L51" s="733"/>
      <c r="M51" s="1391"/>
      <c r="N51" s="1392"/>
      <c r="P51" s="1391"/>
      <c r="Q51" s="1392"/>
      <c r="S51" s="1391"/>
      <c r="T51" s="1392"/>
    </row>
    <row r="52" spans="1:21" s="458" customFormat="1" ht="13.15" customHeight="1">
      <c r="B52" s="458" t="s">
        <v>3499</v>
      </c>
      <c r="G52" s="1391">
        <v>21000</v>
      </c>
      <c r="H52" s="1392"/>
      <c r="J52" s="1391">
        <v>21000</v>
      </c>
      <c r="K52" s="1392"/>
      <c r="L52" s="733"/>
      <c r="M52" s="1391"/>
      <c r="N52" s="1392"/>
      <c r="P52" s="1391"/>
      <c r="Q52" s="1392"/>
      <c r="S52" s="1391"/>
      <c r="T52" s="1392"/>
    </row>
    <row r="53" spans="1:21" s="458" customFormat="1" ht="13.15" customHeight="1">
      <c r="B53" s="458" t="s">
        <v>372</v>
      </c>
      <c r="G53" s="1391"/>
      <c r="H53" s="1392"/>
      <c r="J53" s="1391"/>
      <c r="K53" s="1392"/>
      <c r="L53" s="733"/>
      <c r="M53" s="1391"/>
      <c r="N53" s="1392"/>
      <c r="P53" s="1391"/>
      <c r="Q53" s="1392"/>
      <c r="S53" s="1391"/>
      <c r="T53" s="1392"/>
    </row>
    <row r="54" spans="1:21" s="458" customFormat="1" ht="12.6" customHeight="1">
      <c r="B54" s="529" t="s">
        <v>1796</v>
      </c>
      <c r="D54" s="527"/>
      <c r="E54" s="527"/>
      <c r="F54" s="528"/>
      <c r="G54" s="1391">
        <v>67013</v>
      </c>
      <c r="H54" s="1392"/>
      <c r="I54" s="482"/>
      <c r="J54" s="1391">
        <v>67013</v>
      </c>
      <c r="K54" s="1392"/>
      <c r="L54" s="733"/>
      <c r="M54" s="1391"/>
      <c r="N54" s="1392"/>
      <c r="P54" s="1391"/>
      <c r="Q54" s="1392"/>
      <c r="S54" s="1391"/>
      <c r="T54" s="1392"/>
    </row>
    <row r="55" spans="1:21" s="458" customFormat="1" ht="13.15" customHeight="1" thickBot="1">
      <c r="A55" s="562" t="str">
        <f>IF(AND(G55&gt;0,OR(C55="",C55="&lt;Enter detailed description here; use Comments section if needed&gt;")),"X","")</f>
        <v/>
      </c>
      <c r="B55" s="458" t="s">
        <v>1231</v>
      </c>
      <c r="C55" s="1393" t="s">
        <v>3660</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118013</v>
      </c>
      <c r="H56" s="899"/>
      <c r="J56" s="898">
        <f>SUM(J48:K55)</f>
        <v>118013</v>
      </c>
      <c r="K56" s="899"/>
      <c r="L56" s="525"/>
      <c r="M56" s="898">
        <f>SUM(M48:N55)</f>
        <v>0</v>
      </c>
      <c r="N56" s="899"/>
      <c r="P56" s="898">
        <f>SUM(P48:Q55)</f>
        <v>0</v>
      </c>
      <c r="Q56" s="899"/>
      <c r="S56" s="898">
        <f>SUM(S48:T55)</f>
        <v>0</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1">
        <v>115200</v>
      </c>
      <c r="H58" s="1392"/>
      <c r="J58" s="1391">
        <v>115200</v>
      </c>
      <c r="K58" s="1392"/>
      <c r="L58" s="733"/>
      <c r="M58" s="1391"/>
      <c r="N58" s="1392"/>
      <c r="P58" s="1391"/>
      <c r="Q58" s="1392"/>
      <c r="S58" s="1391"/>
      <c r="T58" s="1392"/>
    </row>
    <row r="59" spans="1:21" s="458" customFormat="1" ht="13.15" customHeight="1">
      <c r="B59" s="458" t="s">
        <v>707</v>
      </c>
      <c r="G59" s="1391">
        <v>38400</v>
      </c>
      <c r="H59" s="1392"/>
      <c r="J59" s="1391">
        <v>38400</v>
      </c>
      <c r="K59" s="1392"/>
      <c r="L59" s="733"/>
      <c r="M59" s="1391"/>
      <c r="N59" s="1392"/>
      <c r="P59" s="1391"/>
      <c r="Q59" s="1392"/>
      <c r="S59" s="1391"/>
      <c r="T59" s="1392"/>
    </row>
    <row r="60" spans="1:21" s="458" customFormat="1" ht="13.15" customHeight="1">
      <c r="B60" s="458" t="s">
        <v>1762</v>
      </c>
      <c r="G60" s="1391">
        <v>15000</v>
      </c>
      <c r="H60" s="1392"/>
      <c r="J60" s="1391">
        <v>15000</v>
      </c>
      <c r="K60" s="1392"/>
      <c r="L60" s="733"/>
      <c r="M60" s="1391"/>
      <c r="N60" s="1392"/>
      <c r="P60" s="1391"/>
      <c r="Q60" s="1392"/>
      <c r="S60" s="1391"/>
      <c r="T60" s="1392"/>
    </row>
    <row r="61" spans="1:21" s="458" customFormat="1" ht="13.15" customHeight="1">
      <c r="B61" s="458" t="s">
        <v>1763</v>
      </c>
      <c r="G61" s="1391">
        <v>5000</v>
      </c>
      <c r="H61" s="1392"/>
      <c r="J61" s="1391">
        <v>5000</v>
      </c>
      <c r="K61" s="1392"/>
      <c r="L61" s="733"/>
      <c r="M61" s="1391"/>
      <c r="N61" s="1392"/>
      <c r="P61" s="1391"/>
      <c r="Q61" s="1392"/>
      <c r="S61" s="1391"/>
      <c r="T61" s="1392"/>
    </row>
    <row r="62" spans="1:21" s="458" customFormat="1" ht="13.15" customHeight="1">
      <c r="B62" s="458" t="s">
        <v>1764</v>
      </c>
      <c r="G62" s="1391">
        <v>10000</v>
      </c>
      <c r="H62" s="1392"/>
      <c r="J62" s="1391">
        <v>10000</v>
      </c>
      <c r="K62" s="1392"/>
      <c r="L62" s="733"/>
      <c r="M62" s="1391"/>
      <c r="N62" s="1392"/>
      <c r="P62" s="1391"/>
      <c r="Q62" s="1392"/>
      <c r="S62" s="1391"/>
      <c r="T62" s="1392"/>
    </row>
    <row r="63" spans="1:21" s="458" customFormat="1" ht="13.15" customHeight="1">
      <c r="B63" s="458" t="s">
        <v>1765</v>
      </c>
      <c r="G63" s="1391"/>
      <c r="H63" s="1392"/>
      <c r="J63" s="1391"/>
      <c r="K63" s="1392"/>
      <c r="L63" s="733"/>
      <c r="M63" s="1391"/>
      <c r="N63" s="1392"/>
      <c r="P63" s="1391"/>
      <c r="Q63" s="1392"/>
      <c r="S63" s="1391"/>
      <c r="T63" s="1392"/>
    </row>
    <row r="64" spans="1:21" s="458" customFormat="1" ht="13.15" customHeight="1">
      <c r="B64" s="458" t="s">
        <v>708</v>
      </c>
      <c r="G64" s="1391">
        <v>45000</v>
      </c>
      <c r="H64" s="1392"/>
      <c r="J64" s="1391">
        <v>45000</v>
      </c>
      <c r="K64" s="1392"/>
      <c r="L64" s="733"/>
      <c r="M64" s="1391"/>
      <c r="N64" s="1392"/>
      <c r="P64" s="1391"/>
      <c r="Q64" s="1392"/>
      <c r="S64" s="1391"/>
      <c r="T64" s="1392"/>
    </row>
    <row r="65" spans="1:21" s="458" customFormat="1" ht="13.15" customHeight="1">
      <c r="B65" s="458" t="s">
        <v>709</v>
      </c>
      <c r="G65" s="1391">
        <v>65000</v>
      </c>
      <c r="H65" s="1392"/>
      <c r="J65" s="1391">
        <v>65000</v>
      </c>
      <c r="K65" s="1392"/>
      <c r="L65" s="733"/>
      <c r="M65" s="1391"/>
      <c r="N65" s="1392"/>
      <c r="P65" s="1391"/>
      <c r="Q65" s="1392"/>
      <c r="S65" s="1391"/>
      <c r="T65" s="1392"/>
    </row>
    <row r="66" spans="1:21" s="458" customFormat="1" ht="13.15" customHeight="1">
      <c r="B66" s="458" t="s">
        <v>3141</v>
      </c>
      <c r="G66" s="1391">
        <v>7500</v>
      </c>
      <c r="H66" s="1392"/>
      <c r="J66" s="1391">
        <v>7500</v>
      </c>
      <c r="K66" s="1392"/>
      <c r="L66" s="733"/>
      <c r="M66" s="1391"/>
      <c r="N66" s="1392"/>
      <c r="P66" s="1391"/>
      <c r="Q66" s="1392"/>
      <c r="S66" s="1391"/>
      <c r="T66" s="1392"/>
    </row>
    <row r="67" spans="1:21" s="458" customFormat="1" ht="13.15" customHeight="1" thickBot="1">
      <c r="A67" s="562" t="str">
        <f>IF(AND(G67&gt;0,OR(C67="",C67="&lt;Enter detailed description here; use Comments section if needed&gt;")),"X","")</f>
        <v/>
      </c>
      <c r="B67" s="458" t="s">
        <v>1231</v>
      </c>
      <c r="C67" s="1393" t="s">
        <v>3660</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301100</v>
      </c>
      <c r="H68" s="899"/>
      <c r="J68" s="898">
        <f>SUM(J58:K67)</f>
        <v>301100</v>
      </c>
      <c r="K68" s="899"/>
      <c r="L68" s="525"/>
      <c r="M68" s="898">
        <f>SUM(M58:N67)</f>
        <v>0</v>
      </c>
      <c r="N68" s="899"/>
      <c r="P68" s="898">
        <f>SUM(P58:Q67)</f>
        <v>0</v>
      </c>
      <c r="Q68" s="899"/>
      <c r="S68" s="898">
        <f>SUM(S58:T67)</f>
        <v>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1">
        <v>60000</v>
      </c>
      <c r="H70" s="1392"/>
      <c r="J70" s="1391">
        <v>60000</v>
      </c>
      <c r="K70" s="1392"/>
      <c r="L70" s="733"/>
      <c r="M70" s="1391"/>
      <c r="N70" s="1392"/>
      <c r="P70" s="1391"/>
      <c r="Q70" s="1392"/>
      <c r="S70" s="1391"/>
      <c r="T70" s="1392"/>
    </row>
    <row r="71" spans="1:21" s="458" customFormat="1" ht="13.15" customHeight="1">
      <c r="B71" s="458" t="s">
        <v>1956</v>
      </c>
      <c r="G71" s="1391"/>
      <c r="H71" s="1392"/>
      <c r="J71" s="1391"/>
      <c r="K71" s="1392"/>
      <c r="L71" s="733"/>
      <c r="M71" s="1391"/>
      <c r="N71" s="1392"/>
      <c r="P71" s="1391"/>
      <c r="Q71" s="1392"/>
      <c r="S71" s="1391"/>
      <c r="T71" s="1392"/>
    </row>
    <row r="72" spans="1:21" s="458" customFormat="1" ht="13.15" customHeight="1">
      <c r="B72" s="458" t="s">
        <v>1957</v>
      </c>
      <c r="D72" s="539" t="s">
        <v>2112</v>
      </c>
      <c r="E72" s="1399" t="s">
        <v>3926</v>
      </c>
      <c r="G72" s="1391">
        <v>60680</v>
      </c>
      <c r="H72" s="1392"/>
      <c r="I72" s="482"/>
      <c r="J72" s="1391">
        <v>60680</v>
      </c>
      <c r="K72" s="1392"/>
      <c r="L72" s="733"/>
      <c r="M72" s="1391"/>
      <c r="N72" s="1392"/>
      <c r="P72" s="1391"/>
      <c r="Q72" s="1392"/>
      <c r="S72" s="1391"/>
      <c r="T72" s="1392"/>
    </row>
    <row r="73" spans="1:21" s="458" customFormat="1" ht="13.15" customHeight="1" thickBot="1">
      <c r="B73" s="458" t="s">
        <v>1958</v>
      </c>
      <c r="D73" s="539" t="s">
        <v>2112</v>
      </c>
      <c r="E73" s="1399" t="s">
        <v>3926</v>
      </c>
      <c r="G73" s="1391">
        <v>27200</v>
      </c>
      <c r="H73" s="1392"/>
      <c r="I73" s="482"/>
      <c r="J73" s="1391">
        <v>27200</v>
      </c>
      <c r="K73" s="1392"/>
      <c r="L73" s="733"/>
      <c r="M73" s="1391"/>
      <c r="N73" s="1392"/>
      <c r="P73" s="1391"/>
      <c r="Q73" s="1392"/>
      <c r="S73" s="1391"/>
      <c r="T73" s="1392"/>
    </row>
    <row r="74" spans="1:21" s="458" customFormat="1" ht="13.15" customHeight="1" thickTop="1">
      <c r="F74" s="523" t="s">
        <v>249</v>
      </c>
      <c r="G74" s="898">
        <f>SUM(G70:H73)</f>
        <v>147880</v>
      </c>
      <c r="H74" s="899"/>
      <c r="J74" s="898">
        <f>SUM(J70:K73)</f>
        <v>147880</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1"/>
      <c r="H76" s="1392"/>
      <c r="J76" s="897"/>
      <c r="K76" s="897"/>
      <c r="L76" s="733"/>
      <c r="M76" s="897"/>
      <c r="N76" s="897"/>
      <c r="P76" s="897"/>
      <c r="Q76" s="897"/>
      <c r="S76" s="1391"/>
      <c r="T76" s="1392"/>
    </row>
    <row r="77" spans="1:21" s="458" customFormat="1" ht="13.15" customHeight="1">
      <c r="B77" s="458" t="s">
        <v>1960</v>
      </c>
      <c r="G77" s="1391"/>
      <c r="H77" s="1392"/>
      <c r="J77" s="906"/>
      <c r="K77" s="906"/>
      <c r="L77" s="733"/>
      <c r="M77" s="906"/>
      <c r="N77" s="906"/>
      <c r="P77" s="906"/>
      <c r="Q77" s="906"/>
      <c r="S77" s="1391"/>
      <c r="T77" s="1392"/>
    </row>
    <row r="78" spans="1:21" s="458" customFormat="1" ht="13.15" customHeight="1">
      <c r="B78" s="458" t="s">
        <v>1961</v>
      </c>
      <c r="G78" s="1391">
        <v>21757</v>
      </c>
      <c r="H78" s="1392"/>
      <c r="J78" s="1391">
        <v>21757</v>
      </c>
      <c r="K78" s="1392"/>
      <c r="L78" s="733"/>
      <c r="M78" s="1391"/>
      <c r="N78" s="1392"/>
      <c r="P78" s="1391"/>
      <c r="Q78" s="1392"/>
      <c r="S78" s="1391"/>
      <c r="T78" s="1392"/>
    </row>
    <row r="79" spans="1:21" s="458" customFormat="1" ht="13.15" customHeight="1">
      <c r="B79" s="458" t="s">
        <v>1962</v>
      </c>
      <c r="G79" s="1391">
        <v>15000</v>
      </c>
      <c r="H79" s="1392"/>
      <c r="J79" s="1391">
        <v>11827</v>
      </c>
      <c r="K79" s="1392"/>
      <c r="L79" s="733"/>
      <c r="M79" s="1391"/>
      <c r="N79" s="1392"/>
      <c r="P79" s="1391"/>
      <c r="Q79" s="1392"/>
      <c r="S79" s="1391">
        <v>3173</v>
      </c>
      <c r="T79" s="1392"/>
    </row>
    <row r="80" spans="1:21" s="458" customFormat="1" ht="13.15" customHeight="1">
      <c r="B80" s="458" t="s">
        <v>1963</v>
      </c>
      <c r="G80" s="1391"/>
      <c r="H80" s="1392"/>
      <c r="J80" s="1391"/>
      <c r="K80" s="1392"/>
      <c r="L80" s="733"/>
      <c r="M80" s="1391"/>
      <c r="N80" s="1392"/>
      <c r="P80" s="1391"/>
      <c r="Q80" s="1392"/>
      <c r="S80" s="1391"/>
      <c r="T80" s="1392"/>
    </row>
    <row r="81" spans="1:21" s="458" customFormat="1" ht="13.15" customHeight="1">
      <c r="B81" s="458" t="s">
        <v>3439</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1231</v>
      </c>
      <c r="C82" s="1393" t="s">
        <v>3660</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36757</v>
      </c>
      <c r="H83" s="899"/>
      <c r="J83" s="898">
        <f>SUM(J78:K82)</f>
        <v>33584</v>
      </c>
      <c r="K83" s="899"/>
      <c r="L83" s="525"/>
      <c r="M83" s="898">
        <f>SUM(M78:N82)</f>
        <v>0</v>
      </c>
      <c r="N83" s="899"/>
      <c r="P83" s="898">
        <f>SUM(P78:Q82)</f>
        <v>0</v>
      </c>
      <c r="Q83" s="899"/>
      <c r="S83" s="898">
        <f>SUM(S76:T82)</f>
        <v>3173</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951</v>
      </c>
      <c r="B86" s="461" t="s">
        <v>1495</v>
      </c>
      <c r="H86" s="721"/>
      <c r="I86" s="721"/>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1">
        <v>1000</v>
      </c>
      <c r="H89" s="1392"/>
      <c r="J89" s="525"/>
      <c r="K89" s="525"/>
      <c r="L89" s="733"/>
      <c r="M89" s="525"/>
      <c r="N89" s="525"/>
      <c r="P89" s="525"/>
      <c r="Q89" s="525"/>
      <c r="S89" s="1391">
        <v>1000</v>
      </c>
      <c r="T89" s="1392"/>
    </row>
    <row r="90" spans="1:21" s="458" customFormat="1" ht="12.6" customHeight="1">
      <c r="B90" s="458" t="s">
        <v>1859</v>
      </c>
      <c r="G90" s="1391">
        <v>4000</v>
      </c>
      <c r="H90" s="1392"/>
      <c r="J90" s="525"/>
      <c r="K90" s="525"/>
      <c r="L90" s="540"/>
      <c r="M90" s="525"/>
      <c r="N90" s="525"/>
      <c r="P90" s="525"/>
      <c r="Q90" s="525"/>
      <c r="S90" s="1391">
        <v>4000</v>
      </c>
      <c r="T90" s="1392"/>
    </row>
    <row r="91" spans="1:21" s="458" customFormat="1" ht="12.6" customHeight="1">
      <c r="B91" s="458" t="s">
        <v>2748</v>
      </c>
      <c r="G91" s="1391"/>
      <c r="H91" s="1392"/>
      <c r="J91" s="525"/>
      <c r="K91" s="525"/>
      <c r="L91" s="540"/>
      <c r="M91" s="525"/>
      <c r="N91" s="525"/>
      <c r="O91" s="721"/>
      <c r="P91" s="525"/>
      <c r="Q91" s="525"/>
      <c r="S91" s="1391"/>
      <c r="T91" s="1392"/>
    </row>
    <row r="92" spans="1:21" s="458" customFormat="1" ht="12.6" customHeight="1">
      <c r="B92" s="458" t="s">
        <v>812</v>
      </c>
      <c r="E92" s="920">
        <f>'DCA Underwriting Assumptions'!$Q$41*$J$165</f>
        <v>46062.5697</v>
      </c>
      <c r="F92" s="921"/>
      <c r="G92" s="1391">
        <v>46063</v>
      </c>
      <c r="H92" s="1392"/>
      <c r="J92" s="525"/>
      <c r="K92" s="525"/>
      <c r="L92" s="733"/>
      <c r="M92" s="525"/>
      <c r="N92" s="525"/>
      <c r="O92" s="721"/>
      <c r="P92" s="525"/>
      <c r="Q92" s="525"/>
      <c r="S92" s="1391">
        <v>46063</v>
      </c>
      <c r="T92" s="1392"/>
    </row>
    <row r="93" spans="1:21" s="458" customFormat="1" ht="12.6" customHeight="1">
      <c r="B93" s="458" t="s">
        <v>1245</v>
      </c>
      <c r="E93" s="920">
        <f>'Part VI-Revenues &amp; Expenses'!$M$63*'DCA Underwriting Assumptions'!$Q$44</f>
        <v>44800</v>
      </c>
      <c r="F93" s="921"/>
      <c r="G93" s="1391">
        <v>44800</v>
      </c>
      <c r="H93" s="1392"/>
      <c r="J93" s="418"/>
      <c r="K93" s="418"/>
      <c r="L93" s="418"/>
      <c r="M93" s="418"/>
      <c r="N93" s="418"/>
      <c r="O93" s="418"/>
      <c r="P93" s="418"/>
      <c r="Q93" s="418"/>
      <c r="S93" s="1391">
        <v>44800</v>
      </c>
      <c r="T93" s="1392"/>
    </row>
    <row r="94" spans="1:21" s="458" customFormat="1" ht="12.6" customHeight="1">
      <c r="B94" s="458" t="s">
        <v>716</v>
      </c>
      <c r="G94" s="1391"/>
      <c r="H94" s="1392"/>
      <c r="J94" s="418"/>
      <c r="K94" s="418"/>
      <c r="L94" s="418"/>
      <c r="M94" s="418"/>
      <c r="N94" s="418"/>
      <c r="O94" s="418"/>
      <c r="P94" s="418"/>
      <c r="Q94" s="418"/>
      <c r="S94" s="1391"/>
      <c r="T94" s="1392"/>
    </row>
    <row r="95" spans="1:21" s="458" customFormat="1" ht="12.6" customHeight="1">
      <c r="B95" s="458" t="s">
        <v>3553</v>
      </c>
      <c r="G95" s="1391"/>
      <c r="H95" s="1392"/>
      <c r="J95" s="418"/>
      <c r="K95" s="418"/>
      <c r="L95" s="418"/>
      <c r="M95" s="418"/>
      <c r="N95" s="418"/>
      <c r="O95" s="418"/>
      <c r="P95" s="418"/>
      <c r="Q95" s="418"/>
      <c r="S95" s="1391"/>
      <c r="T95" s="1392"/>
    </row>
    <row r="96" spans="1:21" s="458" customFormat="1" ht="12.6" customHeight="1">
      <c r="A96" s="562" t="str">
        <f>IF(AND(G96&gt;0,OR(C96="",C96="&lt;Enter detailed description here; use Comments section if needed&gt;")),"X","")</f>
        <v/>
      </c>
      <c r="B96" s="458" t="s">
        <v>1231</v>
      </c>
      <c r="C96" s="1393" t="s">
        <v>3660</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3" t="s">
        <v>3660</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95863</v>
      </c>
      <c r="H98" s="899"/>
      <c r="J98" s="525"/>
      <c r="K98" s="525"/>
      <c r="L98" s="733"/>
      <c r="M98" s="525"/>
      <c r="N98" s="525"/>
      <c r="P98" s="525"/>
      <c r="Q98" s="525"/>
      <c r="S98" s="898">
        <f>SUM(S89:T97)</f>
        <v>95863</v>
      </c>
      <c r="T98" s="899"/>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1">
        <v>500</v>
      </c>
      <c r="H100" s="1392"/>
      <c r="J100" s="897"/>
      <c r="K100" s="897"/>
      <c r="L100" s="733"/>
      <c r="M100" s="897"/>
      <c r="N100" s="897"/>
      <c r="O100" s="721"/>
      <c r="P100" s="897"/>
      <c r="Q100" s="897"/>
      <c r="S100" s="1391">
        <v>500</v>
      </c>
      <c r="T100" s="1392"/>
    </row>
    <row r="101" spans="1:21" s="458" customFormat="1" ht="12.6" customHeight="1">
      <c r="B101" s="458" t="s">
        <v>373</v>
      </c>
      <c r="G101" s="1391">
        <v>2500</v>
      </c>
      <c r="H101" s="1392"/>
      <c r="J101" s="897"/>
      <c r="K101" s="897"/>
      <c r="L101" s="733"/>
      <c r="M101" s="897"/>
      <c r="N101" s="897"/>
      <c r="O101" s="721"/>
      <c r="P101" s="897"/>
      <c r="Q101" s="897"/>
      <c r="S101" s="1391">
        <v>2500</v>
      </c>
      <c r="T101" s="1392"/>
    </row>
    <row r="102" spans="1:21" s="458" customFormat="1" ht="12.6" customHeight="1">
      <c r="B102" s="458" t="s">
        <v>3615</v>
      </c>
      <c r="G102" s="1391"/>
      <c r="H102" s="1392"/>
      <c r="J102" s="897"/>
      <c r="K102" s="897"/>
      <c r="L102" s="733"/>
      <c r="M102" s="897"/>
      <c r="N102" s="897"/>
      <c r="O102" s="721"/>
      <c r="P102" s="897"/>
      <c r="Q102" s="897"/>
      <c r="S102" s="1391"/>
      <c r="T102" s="1392"/>
    </row>
    <row r="103" spans="1:21" s="458" customFormat="1" ht="12.6" customHeight="1" thickBot="1">
      <c r="A103" s="562" t="str">
        <f>IF(AND(G103&gt;0,OR(C103="",C103="&lt;Enter detailed description here; use Comments section if needed&gt;")),"X","")</f>
        <v/>
      </c>
      <c r="B103" s="458" t="s">
        <v>1231</v>
      </c>
      <c r="C103" s="1393" t="s">
        <v>3660</v>
      </c>
      <c r="D103" s="1393"/>
      <c r="E103" s="1393"/>
      <c r="F103" s="1394"/>
      <c r="G103" s="1391"/>
      <c r="H103" s="1392"/>
      <c r="J103" s="897"/>
      <c r="K103" s="897"/>
      <c r="L103" s="733"/>
      <c r="M103" s="897"/>
      <c r="N103" s="897"/>
      <c r="O103" s="721"/>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3000</v>
      </c>
      <c r="H104" s="899"/>
      <c r="J104" s="897"/>
      <c r="K104" s="897"/>
      <c r="L104" s="733"/>
      <c r="M104" s="897"/>
      <c r="N104" s="897"/>
      <c r="O104" s="721"/>
      <c r="P104" s="897"/>
      <c r="Q104" s="897"/>
      <c r="S104" s="898">
        <f>SUM(S100:T103)</f>
        <v>3000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0.2</v>
      </c>
      <c r="G106" s="1391">
        <v>207508</v>
      </c>
      <c r="H106" s="1392"/>
      <c r="J106" s="1391">
        <v>207508</v>
      </c>
      <c r="K106" s="1392"/>
      <c r="L106" s="524"/>
      <c r="M106" s="1391"/>
      <c r="N106" s="1392"/>
      <c r="P106" s="1391"/>
      <c r="Q106" s="1392"/>
      <c r="S106" s="1391"/>
      <c r="T106" s="1392"/>
    </row>
    <row r="107" spans="1:21" s="458" customFormat="1" ht="12.6" customHeight="1">
      <c r="B107" s="458" t="s">
        <v>2916</v>
      </c>
      <c r="F107" s="647">
        <f>G107/$G$109</f>
        <v>0</v>
      </c>
      <c r="G107" s="1391"/>
      <c r="H107" s="1392"/>
      <c r="J107" s="1391"/>
      <c r="K107" s="1392"/>
      <c r="L107" s="733"/>
      <c r="M107" s="1391"/>
      <c r="N107" s="1392"/>
      <c r="P107" s="1391"/>
      <c r="Q107" s="1392"/>
      <c r="S107" s="1391"/>
      <c r="T107" s="1392"/>
    </row>
    <row r="108" spans="1:21" s="458" customFormat="1" ht="12.6" customHeight="1" thickBot="1">
      <c r="B108" s="458" t="s">
        <v>2908</v>
      </c>
      <c r="F108" s="647">
        <f>G108/$G$109</f>
        <v>0.8</v>
      </c>
      <c r="G108" s="1391">
        <v>830032</v>
      </c>
      <c r="H108" s="1392"/>
      <c r="J108" s="1391">
        <v>830032</v>
      </c>
      <c r="K108" s="1392"/>
      <c r="L108" s="733"/>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8">
        <f>SUM(G106:H108)</f>
        <v>1037540</v>
      </c>
      <c r="H109" s="899"/>
      <c r="J109" s="898">
        <f>SUM(J106:K108)</f>
        <v>1037540</v>
      </c>
      <c r="K109" s="899"/>
      <c r="L109" s="733"/>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1">
        <v>30000</v>
      </c>
      <c r="H111" s="1392"/>
      <c r="J111" s="541"/>
      <c r="K111" s="541"/>
      <c r="L111" s="541"/>
      <c r="M111" s="541"/>
      <c r="N111" s="541"/>
      <c r="P111" s="541"/>
      <c r="Q111" s="541"/>
      <c r="S111" s="1391">
        <v>30000</v>
      </c>
      <c r="T111" s="1392"/>
    </row>
    <row r="112" spans="1:21" s="458" customFormat="1" ht="12.6" customHeight="1">
      <c r="B112" s="458" t="s">
        <v>2288</v>
      </c>
      <c r="G112" s="1391">
        <v>77440</v>
      </c>
      <c r="H112" s="1392"/>
      <c r="J112" s="897"/>
      <c r="K112" s="897"/>
      <c r="L112" s="733"/>
      <c r="M112" s="897"/>
      <c r="N112" s="897"/>
      <c r="O112" s="721"/>
      <c r="P112" s="897"/>
      <c r="Q112" s="897"/>
      <c r="R112" s="721"/>
      <c r="S112" s="1391">
        <v>77440</v>
      </c>
      <c r="T112" s="1392"/>
    </row>
    <row r="113" spans="1:21" s="458" customFormat="1" ht="12.6" customHeight="1">
      <c r="B113" s="458" t="s">
        <v>1029</v>
      </c>
      <c r="F113" s="482"/>
      <c r="G113" s="1391">
        <v>139720</v>
      </c>
      <c r="H113" s="1392"/>
      <c r="J113" s="540"/>
      <c r="K113" s="540"/>
      <c r="L113" s="540"/>
      <c r="M113" s="540"/>
      <c r="N113" s="540"/>
      <c r="O113" s="721"/>
      <c r="P113" s="540"/>
      <c r="Q113" s="540"/>
      <c r="R113" s="721"/>
      <c r="S113" s="1391">
        <v>139720</v>
      </c>
      <c r="T113" s="1392"/>
    </row>
    <row r="114" spans="1:21" s="458" customFormat="1" ht="12.6" customHeight="1">
      <c r="B114" s="458" t="s">
        <v>1923</v>
      </c>
      <c r="G114" s="1391"/>
      <c r="H114" s="1392"/>
      <c r="J114" s="541"/>
      <c r="K114" s="541"/>
      <c r="L114" s="541"/>
      <c r="M114" s="541"/>
      <c r="N114" s="541"/>
      <c r="P114" s="541"/>
      <c r="Q114" s="541"/>
      <c r="S114" s="1391"/>
      <c r="T114" s="1392"/>
    </row>
    <row r="115" spans="1:21" s="458" customFormat="1" ht="12.6" customHeight="1">
      <c r="B115" s="458" t="s">
        <v>1924</v>
      </c>
      <c r="E115" s="458" t="s">
        <v>1472</v>
      </c>
      <c r="F115" s="647">
        <f>G115/'Part VI-Revenues &amp; Expenses'!$M$63</f>
        <v>625</v>
      </c>
      <c r="G115" s="1391">
        <v>40000</v>
      </c>
      <c r="H115" s="1392"/>
      <c r="J115" s="1391">
        <v>40000</v>
      </c>
      <c r="K115" s="1392"/>
      <c r="L115" s="733"/>
      <c r="M115" s="1391"/>
      <c r="N115" s="1392"/>
      <c r="P115" s="1391"/>
      <c r="Q115" s="1392"/>
      <c r="S115" s="1391"/>
      <c r="T115" s="1392"/>
    </row>
    <row r="116" spans="1:21" s="458" customFormat="1" ht="12.6" customHeight="1" thickBot="1">
      <c r="A116" s="562" t="str">
        <f>IF(AND(G116&gt;0,OR(C116="",C116="&lt;Enter detailed description here; use Comments section if needed&gt;")),"X","")</f>
        <v/>
      </c>
      <c r="B116" s="458" t="s">
        <v>1231</v>
      </c>
      <c r="C116" s="1393" t="s">
        <v>3660</v>
      </c>
      <c r="D116" s="1393"/>
      <c r="E116" s="1393"/>
      <c r="F116" s="1394"/>
      <c r="G116" s="1391"/>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287160</v>
      </c>
      <c r="H117" s="899"/>
      <c r="J117" s="898">
        <f>SUM(J115:K116)</f>
        <v>40000</v>
      </c>
      <c r="K117" s="899"/>
      <c r="L117" s="733"/>
      <c r="M117" s="898">
        <f>SUM(M115:N116)</f>
        <v>0</v>
      </c>
      <c r="N117" s="899"/>
      <c r="P117" s="898">
        <f>SUM(P115:Q116)</f>
        <v>0</v>
      </c>
      <c r="Q117" s="899"/>
      <c r="S117" s="898">
        <f>SUM(S111:T116)</f>
        <v>247160</v>
      </c>
      <c r="T117" s="899"/>
    </row>
    <row r="118" spans="1:21" s="458" customFormat="1" ht="13.15" customHeight="1">
      <c r="B118" s="461" t="s">
        <v>944</v>
      </c>
      <c r="C118" s="714"/>
      <c r="H118" s="538"/>
      <c r="I118" s="538"/>
      <c r="J118" s="522"/>
      <c r="K118" s="522"/>
      <c r="M118" s="522"/>
      <c r="N118" s="522"/>
      <c r="O118" s="524" t="str">
        <f>B118</f>
        <v>OTHER COSTS</v>
      </c>
      <c r="P118" s="522"/>
      <c r="Q118" s="522"/>
      <c r="S118" s="522"/>
      <c r="T118" s="522"/>
    </row>
    <row r="119" spans="1:21" s="458" customFormat="1" ht="12.6" customHeight="1">
      <c r="B119" s="458" t="s">
        <v>945</v>
      </c>
      <c r="C119" s="714"/>
      <c r="G119" s="1391"/>
      <c r="H119" s="1392"/>
      <c r="J119" s="1391"/>
      <c r="K119" s="1392"/>
      <c r="L119" s="524"/>
      <c r="M119" s="1391"/>
      <c r="N119" s="1392"/>
      <c r="P119" s="1391"/>
      <c r="Q119" s="1392"/>
      <c r="S119" s="1391"/>
      <c r="T119" s="1392"/>
    </row>
    <row r="120" spans="1:21" s="458" customFormat="1" ht="12.6" customHeight="1" thickBot="1">
      <c r="A120" s="562" t="str">
        <f>IF(AND(G120&gt;0,OR(C120="",C120="&lt;Enter detailed description here; use Comments section if needed&gt;")),"X","")</f>
        <v/>
      </c>
      <c r="B120" s="458" t="s">
        <v>1231</v>
      </c>
      <c r="C120" s="1393" t="s">
        <v>3660</v>
      </c>
      <c r="D120" s="1393"/>
      <c r="E120" s="1393"/>
      <c r="F120" s="1394"/>
      <c r="G120" s="1391"/>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375</v>
      </c>
      <c r="G123" s="907">
        <f>G17+G23+G27+G32+G36+G42+G56+G68+G74+G83+G98+G104+G109+G117+G121</f>
        <v>8702973</v>
      </c>
      <c r="H123" s="908"/>
      <c r="J123" s="907">
        <f>J17+J23+J27+J32+J36+J42+J56+J68+J74+J83+J98+J104+J109+J117+J121</f>
        <v>7311519</v>
      </c>
      <c r="K123" s="908"/>
      <c r="M123" s="907">
        <f>M17+M23+M27+M32+M36+M42+M56+M68+M74+M83+M98+M104+M109+M117+M121</f>
        <v>0</v>
      </c>
      <c r="N123" s="908"/>
      <c r="P123" s="907">
        <f>P17+P23+P27+P32+P36+P42+P56+P68+P74+P83+P98+P104+P109+P117+P121</f>
        <v>0</v>
      </c>
      <c r="Q123" s="908"/>
      <c r="S123" s="907">
        <f>S17+S23+S27+S32+S36+S42+S56+S68+S74+S83+S98+S104+S109+S117+S121</f>
        <v>1391454</v>
      </c>
      <c r="T123" s="908"/>
    </row>
    <row r="124" spans="1:21" s="458" customFormat="1" ht="3" customHeight="1" thickBot="1">
      <c r="C124" s="714"/>
      <c r="H124" s="538"/>
      <c r="I124" s="538"/>
      <c r="L124" s="721"/>
    </row>
    <row r="125" spans="1:21" s="458" customFormat="1" ht="13.9" customHeight="1" thickBot="1">
      <c r="B125" s="465" t="s">
        <v>3896</v>
      </c>
      <c r="D125" s="951">
        <f>IF(AND($T$155 = "Yes", 'Part IX A-Scoring Criteria'!$O$176 &gt; 0),'DCA Underwriting Assumptions'!$R$13, IF(AND('Part IV-Uses of Funds'!$T$156="Yes", 'Part IX A-Scoring Criteria'!$O$74&gt;0),'DCA Underwriting Assumptions'!$R$12, 'DCA Underwriting Assumptions'!$R$11))</f>
        <v>10360960</v>
      </c>
      <c r="E125" s="952"/>
      <c r="F125" s="461" t="s">
        <v>1039</v>
      </c>
      <c r="G125" s="936">
        <f>G123/'Part VI-Revenues &amp; Expenses'!$M$63</f>
        <v>135983.953125</v>
      </c>
      <c r="H125" s="937"/>
      <c r="I125" s="543"/>
      <c r="J125" s="465" t="s">
        <v>1040</v>
      </c>
      <c r="M125" s="936">
        <f>G123/'Part VI-Revenues &amp; Expenses'!$M$98</f>
        <v>127.32579880617978</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1230</v>
      </c>
      <c r="B128" s="408" t="s">
        <v>2146</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3136</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0"/>
      <c r="K131" s="1401"/>
      <c r="P131" s="1400"/>
      <c r="Q131" s="1401"/>
    </row>
    <row r="132" spans="2:17" s="458" customFormat="1" ht="13.9" customHeight="1">
      <c r="B132" s="721" t="s">
        <v>3256</v>
      </c>
      <c r="D132" s="721"/>
      <c r="E132" s="721"/>
      <c r="F132" s="721"/>
      <c r="G132" s="721"/>
      <c r="H132" s="721"/>
      <c r="I132" s="545"/>
      <c r="J132" s="1400"/>
      <c r="K132" s="1401"/>
      <c r="P132" s="1400"/>
      <c r="Q132" s="1401"/>
    </row>
    <row r="133" spans="2:17" s="458" customFormat="1" ht="13.9" customHeight="1">
      <c r="B133" s="721" t="s">
        <v>2918</v>
      </c>
      <c r="D133" s="721"/>
      <c r="E133" s="721"/>
      <c r="I133" s="545"/>
      <c r="J133" s="1400"/>
      <c r="K133" s="1401"/>
      <c r="P133" s="1400"/>
      <c r="Q133" s="1401"/>
    </row>
    <row r="134" spans="2:17" s="458" customFormat="1" ht="13.9" customHeight="1">
      <c r="B134" s="721" t="s">
        <v>2919</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2364</v>
      </c>
      <c r="C136" s="1393" t="s">
        <v>3660</v>
      </c>
      <c r="D136" s="1393"/>
      <c r="E136" s="1393"/>
      <c r="F136" s="1393"/>
      <c r="G136" s="1393"/>
      <c r="H136" s="1393"/>
      <c r="I136" s="1394"/>
      <c r="J136" s="1400"/>
      <c r="K136" s="1401"/>
      <c r="P136" s="1400"/>
      <c r="Q136" s="1401"/>
    </row>
    <row r="137" spans="2:17" s="458" customFormat="1" ht="13.9" customHeight="1" thickBot="1">
      <c r="B137" s="470" t="s">
        <v>2920</v>
      </c>
      <c r="C137" s="473"/>
      <c r="J137" s="861">
        <f>SUM(J131:K136)</f>
        <v>0</v>
      </c>
      <c r="K137" s="862"/>
      <c r="P137" s="861">
        <f>SUM(P131:Q136)</f>
        <v>0</v>
      </c>
      <c r="Q137" s="862"/>
    </row>
    <row r="138" spans="2:17" s="458" customFormat="1" ht="3" customHeight="1"/>
    <row r="139" spans="2:17" s="458" customFormat="1" ht="15" customHeight="1" thickBot="1">
      <c r="B139" s="461" t="s">
        <v>3488</v>
      </c>
    </row>
    <row r="140" spans="2:17" s="458" customFormat="1" ht="13.9" customHeight="1">
      <c r="B140" s="458" t="s">
        <v>2822</v>
      </c>
      <c r="J140" s="923">
        <f>J123</f>
        <v>7311519</v>
      </c>
      <c r="K140" s="924"/>
      <c r="M140" s="934">
        <f>M123</f>
        <v>0</v>
      </c>
      <c r="N140" s="935"/>
      <c r="P140" s="923">
        <f>P123</f>
        <v>0</v>
      </c>
      <c r="Q140" s="924"/>
    </row>
    <row r="141" spans="2:17" s="458" customFormat="1" ht="13.9" customHeight="1">
      <c r="B141" s="458" t="s">
        <v>3344</v>
      </c>
      <c r="J141" s="925">
        <f>J137</f>
        <v>0</v>
      </c>
      <c r="K141" s="926"/>
      <c r="M141" s="928"/>
      <c r="N141" s="928"/>
      <c r="P141" s="925">
        <f>P137</f>
        <v>0</v>
      </c>
      <c r="Q141" s="926"/>
    </row>
    <row r="142" spans="2:17" s="458" customFormat="1" ht="13.9" customHeight="1">
      <c r="B142" s="458" t="s">
        <v>3345</v>
      </c>
      <c r="J142" s="925">
        <f>J140-J141</f>
        <v>7311519</v>
      </c>
      <c r="K142" s="926"/>
      <c r="M142" s="925">
        <f>M140</f>
        <v>0</v>
      </c>
      <c r="N142" s="926"/>
      <c r="P142" s="925">
        <f>P140-P141</f>
        <v>0</v>
      </c>
      <c r="Q142" s="926"/>
    </row>
    <row r="143" spans="2:17" s="458" customFormat="1" ht="13.9" customHeight="1">
      <c r="B143" s="458" t="s">
        <v>2229</v>
      </c>
      <c r="G143" s="713" t="s">
        <v>2735</v>
      </c>
      <c r="H143" s="1402" t="s">
        <v>2801</v>
      </c>
      <c r="I143" s="1403"/>
      <c r="J143" s="1404">
        <v>1</v>
      </c>
      <c r="K143" s="1405"/>
      <c r="M143" s="933"/>
      <c r="N143" s="933"/>
      <c r="P143" s="1404">
        <v>1</v>
      </c>
      <c r="Q143" s="1405"/>
    </row>
    <row r="144" spans="2:17" s="458" customFormat="1" ht="13.9" customHeight="1">
      <c r="B144" s="458" t="s">
        <v>3150</v>
      </c>
      <c r="J144" s="925">
        <f>J142*J143</f>
        <v>7311519</v>
      </c>
      <c r="K144" s="926"/>
      <c r="M144" s="925">
        <f>+M142</f>
        <v>0</v>
      </c>
      <c r="N144" s="926"/>
      <c r="P144" s="925">
        <f>P142*P143</f>
        <v>0</v>
      </c>
      <c r="Q144" s="926"/>
    </row>
    <row r="145" spans="1:20" s="458" customFormat="1" ht="13.9" customHeight="1">
      <c r="B145" s="458" t="s">
        <v>3840</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3137</v>
      </c>
      <c r="J146" s="925">
        <f>J144*J145</f>
        <v>7311519</v>
      </c>
      <c r="K146" s="926"/>
      <c r="M146" s="925">
        <f>M144*M145</f>
        <v>0</v>
      </c>
      <c r="N146" s="926"/>
      <c r="P146" s="925">
        <f>P144*P145</f>
        <v>0</v>
      </c>
      <c r="Q146" s="926"/>
    </row>
    <row r="147" spans="1:20" s="458" customFormat="1" ht="13.9" customHeight="1">
      <c r="B147" s="458" t="s">
        <v>3138</v>
      </c>
      <c r="J147" s="1404">
        <v>0.09</v>
      </c>
      <c r="K147" s="1405"/>
      <c r="M147" s="1404"/>
      <c r="N147" s="1405"/>
      <c r="P147" s="1404">
        <v>0.09</v>
      </c>
      <c r="Q147" s="1405"/>
    </row>
    <row r="148" spans="1:20" s="458" customFormat="1" ht="13.9" customHeight="1" thickBot="1">
      <c r="B148" s="458" t="s">
        <v>3841</v>
      </c>
      <c r="J148" s="929">
        <f>J146*J147</f>
        <v>658036.71</v>
      </c>
      <c r="K148" s="930"/>
      <c r="M148" s="929">
        <f>M146*M147</f>
        <v>0</v>
      </c>
      <c r="N148" s="930"/>
      <c r="P148" s="929">
        <f>P146*P147</f>
        <v>0</v>
      </c>
      <c r="Q148" s="930"/>
    </row>
    <row r="149" spans="1:20" s="458" customFormat="1" ht="13.9" customHeight="1" thickBot="1">
      <c r="B149" s="458" t="s">
        <v>2144</v>
      </c>
      <c r="J149" s="861">
        <f>J148+M148+P148</f>
        <v>658036.71</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1"/>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1"/>
      <c r="J152" s="931">
        <f>MIN(G123,D125)</f>
        <v>8702973</v>
      </c>
      <c r="K152" s="931"/>
      <c r="L152" s="931"/>
      <c r="M152" s="956" t="s">
        <v>3645</v>
      </c>
      <c r="N152" s="957"/>
      <c r="O152" s="957"/>
      <c r="P152" s="957"/>
      <c r="Q152" s="957"/>
      <c r="R152" s="958"/>
      <c r="S152" s="940"/>
      <c r="T152" s="941"/>
    </row>
    <row r="153" spans="1:20" s="458" customFormat="1" ht="13.9" customHeight="1">
      <c r="B153" s="458" t="s">
        <v>2650</v>
      </c>
      <c r="J153" s="1406">
        <v>8702973</v>
      </c>
      <c r="K153" s="1407"/>
      <c r="L153" s="1407"/>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1660000</v>
      </c>
      <c r="K154" s="928"/>
      <c r="L154" s="928"/>
      <c r="M154" s="956"/>
      <c r="N154" s="957"/>
      <c r="O154" s="957"/>
      <c r="P154" s="957"/>
      <c r="Q154" s="957"/>
      <c r="R154" s="958"/>
      <c r="S154" s="685"/>
      <c r="T154" s="688" t="s">
        <v>344</v>
      </c>
    </row>
    <row r="155" spans="1:20" s="458" customFormat="1" ht="13.9" customHeight="1">
      <c r="B155" s="458" t="s">
        <v>3357</v>
      </c>
      <c r="J155" s="925">
        <f>+J153-J154</f>
        <v>7042973</v>
      </c>
      <c r="K155" s="928"/>
      <c r="L155" s="928"/>
      <c r="M155" s="945" t="s">
        <v>342</v>
      </c>
      <c r="N155" s="932"/>
      <c r="O155" s="932" t="s">
        <v>2653</v>
      </c>
      <c r="P155" s="932"/>
      <c r="Q155" s="932"/>
      <c r="R155" s="946"/>
      <c r="S155" s="686" t="s">
        <v>2652</v>
      </c>
      <c r="T155" s="1408"/>
    </row>
    <row r="156" spans="1:20" s="458" customFormat="1" ht="13.9" customHeight="1" thickBot="1">
      <c r="B156" s="458" t="s">
        <v>1987</v>
      </c>
      <c r="J156" s="950" t="str">
        <f>"/ 10"</f>
        <v>/ 10</v>
      </c>
      <c r="K156" s="950"/>
      <c r="L156" s="950"/>
      <c r="M156" s="1409"/>
      <c r="N156" s="1410"/>
      <c r="O156" s="1411"/>
      <c r="P156" s="1411"/>
      <c r="Q156" s="1411"/>
      <c r="R156" s="1412"/>
      <c r="S156" s="687" t="s">
        <v>343</v>
      </c>
      <c r="T156" s="1413"/>
    </row>
    <row r="157" spans="1:20" s="458" customFormat="1" ht="13.9" customHeight="1">
      <c r="B157" s="458" t="s">
        <v>1988</v>
      </c>
      <c r="J157" s="925">
        <f>J155/10</f>
        <v>704297.3</v>
      </c>
      <c r="K157" s="928"/>
      <c r="L157" s="926"/>
      <c r="M157" s="482"/>
      <c r="N157" s="782" t="s">
        <v>1989</v>
      </c>
      <c r="O157" s="782"/>
      <c r="Q157" s="782" t="s">
        <v>2831</v>
      </c>
      <c r="R157" s="782"/>
    </row>
    <row r="158" spans="1:20" s="458" customFormat="1" ht="13.9" customHeight="1" thickBot="1">
      <c r="B158" s="458" t="s">
        <v>2228</v>
      </c>
      <c r="J158" s="942">
        <f>N158+Q158</f>
        <v>1.0669999999999999</v>
      </c>
      <c r="K158" s="943"/>
      <c r="L158" s="944"/>
      <c r="M158" s="713" t="s">
        <v>1990</v>
      </c>
      <c r="N158" s="1414">
        <v>0.81699999999999995</v>
      </c>
      <c r="O158" s="1415"/>
      <c r="P158" s="713" t="s">
        <v>946</v>
      </c>
      <c r="Q158" s="1414">
        <v>0.25</v>
      </c>
      <c r="R158" s="1415"/>
    </row>
    <row r="159" spans="1:20" s="458" customFormat="1" ht="13.9" customHeight="1" thickBot="1">
      <c r="B159" s="458" t="s">
        <v>2145</v>
      </c>
      <c r="J159" s="861">
        <f>IF(J158=0,"",J157/J158)</f>
        <v>660072.44611059048</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448</v>
      </c>
      <c r="J161" s="947">
        <f>+MIN(J149,J159,'DCA Underwriting Assumptions'!$R$6)</f>
        <v>658036.71</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449</v>
      </c>
      <c r="J163" s="1416">
        <v>658037</v>
      </c>
      <c r="K163" s="1417"/>
      <c r="L163" s="1418"/>
      <c r="M163" s="549" t="str">
        <f>IF(J163&gt;J161,"ALLOCATION CANNOT EXCEED MAXIMUM - REVISE ALLOCATION!","")</f>
        <v>ALLOCATION CANNOT EXCEED MAXIMUM - REVISE ALLOCATION!</v>
      </c>
      <c r="N163" s="719"/>
      <c r="O163" s="719"/>
    </row>
    <row r="164" spans="1:20" s="458" customFormat="1" ht="9.6" customHeight="1">
      <c r="J164" s="548"/>
      <c r="K164" s="548"/>
      <c r="L164" s="548"/>
      <c r="M164" s="482"/>
      <c r="N164" s="719"/>
      <c r="O164" s="719"/>
    </row>
    <row r="165" spans="1:20" s="458" customFormat="1" ht="16.149999999999999" customHeight="1">
      <c r="A165" s="461" t="s">
        <v>2824</v>
      </c>
      <c r="B165" s="461" t="s">
        <v>450</v>
      </c>
      <c r="D165" s="482"/>
      <c r="E165" s="482"/>
      <c r="F165" s="464"/>
      <c r="J165" s="947">
        <f>+MIN(J161,J163)</f>
        <v>658036.71</v>
      </c>
      <c r="K165" s="948"/>
      <c r="L165" s="949"/>
      <c r="N165" s="1419"/>
      <c r="O165" s="1419"/>
      <c r="P165" s="1419"/>
      <c r="Q165" s="1419"/>
      <c r="R165" s="1419"/>
      <c r="S165" s="1419"/>
      <c r="T165" s="1419"/>
    </row>
    <row r="166" spans="1:20" ht="3" customHeight="1"/>
    <row r="167" spans="1:20" ht="6" customHeight="1"/>
    <row r="168" spans="1:20" ht="12" customHeight="1">
      <c r="A168" s="461" t="s">
        <v>2826</v>
      </c>
      <c r="B168" s="491" t="s">
        <v>880</v>
      </c>
      <c r="K168" s="461" t="s">
        <v>823</v>
      </c>
      <c r="L168" s="461" t="s">
        <v>89</v>
      </c>
    </row>
    <row r="169" spans="1:20" ht="107.45" customHeight="1">
      <c r="A169" s="1420" t="s">
        <v>3974</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C31" sqref="C3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2011-020 Heritage Vista Apartments, Milledgeville, Baldwin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2" t="str">
        <f>VLOOKUP('Part I-Project Information'!$J$25,'Part I-Project Information'!$C$183:$D$342,2)</f>
        <v>Middle</v>
      </c>
    </row>
    <row r="4" spans="1:20" s="9" customFormat="1"/>
    <row r="5" spans="1:20" s="9" customFormat="1">
      <c r="A5" s="16" t="s">
        <v>951</v>
      </c>
      <c r="B5" s="16" t="s">
        <v>3352</v>
      </c>
      <c r="F5" s="9" t="s">
        <v>3806</v>
      </c>
      <c r="I5" s="1361" t="s">
        <v>3970</v>
      </c>
      <c r="J5" s="1362"/>
      <c r="K5" s="1362"/>
      <c r="L5" s="1362"/>
      <c r="M5" s="1363"/>
    </row>
    <row r="6" spans="1:20" s="9" customFormat="1" ht="13.15" customHeight="1">
      <c r="A6" s="16"/>
      <c r="F6" s="9" t="s">
        <v>973</v>
      </c>
      <c r="H6" s="31"/>
      <c r="I6" s="1364">
        <v>40695</v>
      </c>
      <c r="J6" s="1365"/>
      <c r="K6" s="77" t="s">
        <v>834</v>
      </c>
      <c r="L6" s="1361" t="s">
        <v>3968</v>
      </c>
      <c r="M6" s="1363"/>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6" t="s">
        <v>3969</v>
      </c>
      <c r="E10" s="1367"/>
      <c r="F10" s="1368" t="s">
        <v>652</v>
      </c>
      <c r="G10" s="1368"/>
      <c r="H10" s="342"/>
      <c r="I10" s="1369"/>
      <c r="J10" s="1369">
        <v>7</v>
      </c>
      <c r="K10" s="1369">
        <v>9</v>
      </c>
      <c r="L10" s="1369">
        <v>13</v>
      </c>
      <c r="M10" s="1369"/>
    </row>
    <row r="11" spans="1:20" s="9" customFormat="1">
      <c r="B11" s="343" t="s">
        <v>687</v>
      </c>
      <c r="C11" s="344"/>
      <c r="D11" s="343" t="s">
        <v>2358</v>
      </c>
      <c r="E11" s="344"/>
      <c r="F11" s="1370" t="s">
        <v>652</v>
      </c>
      <c r="G11" s="1370"/>
      <c r="H11" s="345"/>
      <c r="I11" s="1371"/>
      <c r="J11" s="1371">
        <v>32</v>
      </c>
      <c r="K11" s="1371">
        <v>41</v>
      </c>
      <c r="L11" s="1372">
        <v>49</v>
      </c>
      <c r="M11" s="1372"/>
    </row>
    <row r="12" spans="1:20" s="9" customFormat="1">
      <c r="B12" s="343" t="s">
        <v>2359</v>
      </c>
      <c r="C12" s="344"/>
      <c r="D12" s="1373" t="s">
        <v>2358</v>
      </c>
      <c r="E12" s="1374"/>
      <c r="F12" s="1370" t="s">
        <v>652</v>
      </c>
      <c r="G12" s="1370"/>
      <c r="H12" s="345"/>
      <c r="I12" s="1371"/>
      <c r="J12" s="1371">
        <v>9</v>
      </c>
      <c r="K12" s="1371">
        <v>12</v>
      </c>
      <c r="L12" s="1372">
        <v>14</v>
      </c>
      <c r="M12" s="1372"/>
    </row>
    <row r="13" spans="1:20" s="9" customFormat="1">
      <c r="B13" s="343" t="s">
        <v>2360</v>
      </c>
      <c r="C13" s="344"/>
      <c r="D13" s="1373" t="s">
        <v>2358</v>
      </c>
      <c r="E13" s="1374"/>
      <c r="F13" s="1370" t="s">
        <v>652</v>
      </c>
      <c r="G13" s="1370"/>
      <c r="H13" s="345"/>
      <c r="I13" s="1371"/>
      <c r="J13" s="1371">
        <v>28</v>
      </c>
      <c r="K13" s="1371">
        <v>36</v>
      </c>
      <c r="L13" s="1372">
        <v>44</v>
      </c>
      <c r="M13" s="1372"/>
    </row>
    <row r="14" spans="1:20" s="9" customFormat="1">
      <c r="B14" s="343" t="s">
        <v>2361</v>
      </c>
      <c r="C14" s="344"/>
      <c r="D14" s="343" t="s">
        <v>2358</v>
      </c>
      <c r="E14" s="346"/>
      <c r="F14" s="1370" t="s">
        <v>652</v>
      </c>
      <c r="G14" s="1370"/>
      <c r="H14" s="345"/>
      <c r="I14" s="1371"/>
      <c r="J14" s="1371">
        <v>26</v>
      </c>
      <c r="K14" s="1371">
        <v>33</v>
      </c>
      <c r="L14" s="1372">
        <v>41</v>
      </c>
      <c r="M14" s="1372"/>
    </row>
    <row r="15" spans="1:20" s="9" customFormat="1">
      <c r="B15" s="343" t="s">
        <v>2073</v>
      </c>
      <c r="C15" s="344"/>
      <c r="D15" s="343" t="s">
        <v>3351</v>
      </c>
      <c r="E15" s="1375" t="s">
        <v>3933</v>
      </c>
      <c r="F15" s="1370" t="s">
        <v>652</v>
      </c>
      <c r="G15" s="1370"/>
      <c r="H15" s="345"/>
      <c r="I15" s="1371"/>
      <c r="J15" s="1371">
        <v>20</v>
      </c>
      <c r="K15" s="1371">
        <v>26</v>
      </c>
      <c r="L15" s="1372">
        <v>31</v>
      </c>
      <c r="M15" s="1372"/>
    </row>
    <row r="16" spans="1:20" s="9" customFormat="1">
      <c r="B16" s="347" t="s">
        <v>2905</v>
      </c>
      <c r="C16" s="348"/>
      <c r="D16" s="347"/>
      <c r="E16" s="315"/>
      <c r="F16" s="1376"/>
      <c r="G16" s="1376" t="s">
        <v>652</v>
      </c>
      <c r="H16" s="349"/>
      <c r="I16" s="1377"/>
      <c r="J16" s="1377">
        <v>30</v>
      </c>
      <c r="K16" s="1377">
        <v>38</v>
      </c>
      <c r="L16" s="1378">
        <v>47</v>
      </c>
      <c r="M16" s="1378"/>
    </row>
    <row r="17" spans="1:19" s="9" customFormat="1">
      <c r="B17" s="337" t="s">
        <v>1641</v>
      </c>
      <c r="D17" s="31"/>
      <c r="E17" s="31"/>
      <c r="F17" s="111"/>
      <c r="G17" s="111"/>
      <c r="I17" s="736">
        <f>SUM(I10:I16)</f>
        <v>0</v>
      </c>
      <c r="J17" s="736">
        <f>SUM(J10:J16)</f>
        <v>152</v>
      </c>
      <c r="K17" s="736">
        <f>SUM(K10:K16)</f>
        <v>195</v>
      </c>
      <c r="L17" s="736">
        <f>SUM(L10:L16)</f>
        <v>239</v>
      </c>
      <c r="M17" s="736">
        <f>SUM(M10:M16)</f>
        <v>0</v>
      </c>
    </row>
    <row r="18" spans="1:19" s="9" customFormat="1" ht="11.25" customHeight="1">
      <c r="M18" s="31"/>
      <c r="N18" s="31"/>
      <c r="O18" s="31"/>
      <c r="P18" s="31"/>
      <c r="Q18" s="31"/>
      <c r="R18" s="31"/>
      <c r="S18" s="31"/>
    </row>
    <row r="19" spans="1:19" s="9" customFormat="1">
      <c r="A19" s="16" t="s">
        <v>1230</v>
      </c>
      <c r="B19" s="16" t="s">
        <v>3353</v>
      </c>
      <c r="F19" s="9" t="s">
        <v>3806</v>
      </c>
      <c r="I19" s="1361"/>
      <c r="J19" s="1362"/>
      <c r="K19" s="1362"/>
      <c r="L19" s="1362"/>
      <c r="M19" s="1363"/>
    </row>
    <row r="20" spans="1:19" s="9" customFormat="1" ht="13.15" customHeight="1">
      <c r="A20" s="16"/>
      <c r="B20" s="16"/>
      <c r="F20" s="9" t="s">
        <v>973</v>
      </c>
      <c r="H20" s="31"/>
      <c r="I20" s="1364"/>
      <c r="J20" s="1365"/>
      <c r="K20" s="77" t="s">
        <v>834</v>
      </c>
      <c r="L20" s="1361"/>
      <c r="M20" s="1363"/>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6" t="s">
        <v>2862</v>
      </c>
      <c r="E24" s="1367"/>
      <c r="F24" s="1368"/>
      <c r="G24" s="1368"/>
      <c r="H24" s="342"/>
      <c r="I24" s="1369"/>
      <c r="J24" s="1369"/>
      <c r="K24" s="1369"/>
      <c r="L24" s="1369"/>
      <c r="M24" s="1369"/>
    </row>
    <row r="25" spans="1:19" s="9" customFormat="1">
      <c r="B25" s="343" t="s">
        <v>687</v>
      </c>
      <c r="C25" s="344"/>
      <c r="D25" s="343" t="s">
        <v>2358</v>
      </c>
      <c r="E25" s="344"/>
      <c r="F25" s="1370"/>
      <c r="G25" s="1370"/>
      <c r="H25" s="345"/>
      <c r="I25" s="1371"/>
      <c r="J25" s="1371"/>
      <c r="K25" s="1371"/>
      <c r="L25" s="1372"/>
      <c r="M25" s="1372"/>
    </row>
    <row r="26" spans="1:19" s="9" customFormat="1">
      <c r="B26" s="343" t="s">
        <v>2359</v>
      </c>
      <c r="C26" s="344"/>
      <c r="D26" s="1373" t="s">
        <v>2862</v>
      </c>
      <c r="E26" s="1374"/>
      <c r="F26" s="1370"/>
      <c r="G26" s="1370"/>
      <c r="H26" s="345"/>
      <c r="I26" s="1371"/>
      <c r="J26" s="1371"/>
      <c r="K26" s="1371"/>
      <c r="L26" s="1372"/>
      <c r="M26" s="1372"/>
    </row>
    <row r="27" spans="1:19" s="9" customFormat="1">
      <c r="B27" s="343" t="s">
        <v>2360</v>
      </c>
      <c r="C27" s="344"/>
      <c r="D27" s="1373" t="s">
        <v>2862</v>
      </c>
      <c r="E27" s="1374"/>
      <c r="F27" s="1370"/>
      <c r="G27" s="1370"/>
      <c r="H27" s="345"/>
      <c r="I27" s="1371"/>
      <c r="J27" s="1371"/>
      <c r="K27" s="1371"/>
      <c r="L27" s="1372"/>
      <c r="M27" s="1372"/>
    </row>
    <row r="28" spans="1:19" s="9" customFormat="1">
      <c r="B28" s="343" t="s">
        <v>2361</v>
      </c>
      <c r="C28" s="344"/>
      <c r="D28" s="343" t="s">
        <v>2358</v>
      </c>
      <c r="E28" s="346"/>
      <c r="F28" s="1370"/>
      <c r="G28" s="1370"/>
      <c r="H28" s="345"/>
      <c r="I28" s="1371"/>
      <c r="J28" s="1371"/>
      <c r="K28" s="1371"/>
      <c r="L28" s="1372"/>
      <c r="M28" s="1372"/>
    </row>
    <row r="29" spans="1:19" s="9" customFormat="1">
      <c r="B29" s="343" t="s">
        <v>2073</v>
      </c>
      <c r="C29" s="344"/>
      <c r="D29" s="343" t="s">
        <v>3351</v>
      </c>
      <c r="E29" s="1375" t="s">
        <v>259</v>
      </c>
      <c r="F29" s="1370"/>
      <c r="G29" s="1370"/>
      <c r="H29" s="345"/>
      <c r="I29" s="1371"/>
      <c r="J29" s="1371"/>
      <c r="K29" s="1371"/>
      <c r="L29" s="1372"/>
      <c r="M29" s="1372"/>
    </row>
    <row r="30" spans="1:19" s="9" customFormat="1">
      <c r="B30" s="347" t="s">
        <v>2905</v>
      </c>
      <c r="C30" s="348"/>
      <c r="D30" s="347"/>
      <c r="E30" s="315"/>
      <c r="F30" s="1376"/>
      <c r="G30" s="1376"/>
      <c r="H30" s="349"/>
      <c r="I30" s="1377"/>
      <c r="J30" s="1377"/>
      <c r="K30" s="1377"/>
      <c r="L30" s="1378"/>
      <c r="M30" s="1378"/>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2841</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79"/>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2" zoomScale="85" zoomScaleNormal="85" workbookViewId="0">
      <selection activeCell="C31" sqref="C31"/>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2011-020 Heritage Vista Apartments, Milledgeville, Baldwin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68" t="str">
        <f>'Part I-Project Information'!$J$26</f>
        <v>Baldwin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2849</v>
      </c>
      <c r="DT4" s="964" t="s">
        <v>2850</v>
      </c>
      <c r="DU4" s="964" t="s">
        <v>2851</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t="s">
        <v>3973</v>
      </c>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2840</v>
      </c>
      <c r="D6" s="2"/>
      <c r="E6" s="5"/>
      <c r="G6" s="1303" t="s">
        <v>3926</v>
      </c>
      <c r="J6" s="738" t="s">
        <v>3646</v>
      </c>
      <c r="O6" s="2"/>
      <c r="P6" s="658">
        <f>VLOOKUP('Part I-Project Information'!$J$26,'DCA Underwriting Assumptions'!$C$77:$D$187,2)</f>
        <v>55600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38" t="s">
        <v>228</v>
      </c>
      <c r="D8" s="738" t="s">
        <v>840</v>
      </c>
      <c r="E8" s="738" t="s">
        <v>2211</v>
      </c>
      <c r="F8" s="738" t="s">
        <v>2211</v>
      </c>
      <c r="G8" s="738" t="s">
        <v>3618</v>
      </c>
      <c r="H8" s="738" t="s">
        <v>3616</v>
      </c>
      <c r="I8" s="738" t="s">
        <v>1381</v>
      </c>
      <c r="J8" s="738" t="s">
        <v>3648</v>
      </c>
      <c r="K8" s="966" t="s">
        <v>186</v>
      </c>
      <c r="L8" s="966"/>
      <c r="M8" s="738" t="s">
        <v>3573</v>
      </c>
      <c r="N8" s="738" t="s">
        <v>826</v>
      </c>
      <c r="O8" s="738" t="s">
        <v>488</v>
      </c>
      <c r="P8" s="969" t="s">
        <v>1666</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38" t="s">
        <v>227</v>
      </c>
      <c r="D9" s="738" t="s">
        <v>229</v>
      </c>
      <c r="E9" s="738" t="s">
        <v>2212</v>
      </c>
      <c r="F9" s="738" t="s">
        <v>1964</v>
      </c>
      <c r="G9" s="738" t="s">
        <v>1965</v>
      </c>
      <c r="H9" s="738" t="s">
        <v>3617</v>
      </c>
      <c r="I9" s="738" t="s">
        <v>1382</v>
      </c>
      <c r="J9" s="684" t="s">
        <v>451</v>
      </c>
      <c r="K9" s="738" t="s">
        <v>2282</v>
      </c>
      <c r="L9" s="738" t="s">
        <v>833</v>
      </c>
      <c r="M9" s="738" t="s">
        <v>2211</v>
      </c>
      <c r="N9" s="738" t="s">
        <v>1997</v>
      </c>
      <c r="O9" s="738" t="s">
        <v>489</v>
      </c>
      <c r="P9" s="739" t="s">
        <v>1664</v>
      </c>
      <c r="Q9" s="739" t="s">
        <v>1665</v>
      </c>
      <c r="R9" s="739"/>
      <c r="S9" s="739"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2</v>
      </c>
      <c r="F10" s="1307">
        <v>842</v>
      </c>
      <c r="G10" s="1307">
        <v>466</v>
      </c>
      <c r="H10" s="1307">
        <v>462</v>
      </c>
      <c r="I10" s="1307">
        <v>152</v>
      </c>
      <c r="J10" s="1308"/>
      <c r="K10" s="226">
        <f>MAX(0,H10-I10)</f>
        <v>310</v>
      </c>
      <c r="L10" s="226">
        <f t="shared" ref="L10:L47" si="0">MAX(0,E10*K10)</f>
        <v>620</v>
      </c>
      <c r="M10" s="1309" t="s">
        <v>3926</v>
      </c>
      <c r="N10" s="1309" t="s">
        <v>3968</v>
      </c>
      <c r="O10" s="1309" t="s">
        <v>3436</v>
      </c>
      <c r="P10" s="581">
        <f>IF(H10="","",H10*12/0.3)</f>
        <v>18480</v>
      </c>
      <c r="Q10" s="582">
        <f>IF(H10="","",P10/($P$6*VLOOKUP(C10,'DCA Underwriting Assumptions'!$J$77:$K$82,2,FALSE)))</f>
        <v>0.44316546762589926</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1684</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2</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f t="shared" ref="GD10:GD47" si="137">IF(AND($C10=1, $N10="2-Story Walkup"),$E10,"")</f>
        <v>2</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2</v>
      </c>
      <c r="E11" s="1313">
        <v>8</v>
      </c>
      <c r="F11" s="1313">
        <v>1056</v>
      </c>
      <c r="G11" s="1313">
        <v>560</v>
      </c>
      <c r="H11" s="1313">
        <v>555</v>
      </c>
      <c r="I11" s="1313">
        <v>195</v>
      </c>
      <c r="J11" s="1314"/>
      <c r="K11" s="227">
        <f t="shared" ref="K11:K27" si="172">MAX(0,H11-I11)</f>
        <v>360</v>
      </c>
      <c r="L11" s="227">
        <f t="shared" si="0"/>
        <v>2880</v>
      </c>
      <c r="M11" s="1315" t="s">
        <v>3926</v>
      </c>
      <c r="N11" s="1315" t="s">
        <v>3968</v>
      </c>
      <c r="O11" s="1315" t="s">
        <v>3436</v>
      </c>
      <c r="P11" s="581">
        <f>IF(H11="","",H11*12/0.3)</f>
        <v>22200</v>
      </c>
      <c r="Q11" s="582">
        <f>IF(H11="","",P11/($P$6*VLOOKUP(C11,'DCA Underwriting Assumptions'!$J$77:$K$82,2,FALSE)))</f>
        <v>0.44364508393285373</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8</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8448</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8</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8</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f t="shared" si="138"/>
        <v>8</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3</v>
      </c>
      <c r="D12" s="1312">
        <v>2</v>
      </c>
      <c r="E12" s="1313">
        <v>3</v>
      </c>
      <c r="F12" s="1313">
        <v>1211</v>
      </c>
      <c r="G12" s="1313">
        <v>646</v>
      </c>
      <c r="H12" s="1313">
        <v>639</v>
      </c>
      <c r="I12" s="1313">
        <v>239</v>
      </c>
      <c r="J12" s="1314"/>
      <c r="K12" s="227">
        <f t="shared" si="172"/>
        <v>400</v>
      </c>
      <c r="L12" s="227">
        <f t="shared" si="0"/>
        <v>1200</v>
      </c>
      <c r="M12" s="1315" t="s">
        <v>3926</v>
      </c>
      <c r="N12" s="1315" t="s">
        <v>3968</v>
      </c>
      <c r="O12" s="1315" t="s">
        <v>3436</v>
      </c>
      <c r="P12" s="581">
        <f>IF(H12="","",H12*12/0.3)</f>
        <v>25560</v>
      </c>
      <c r="Q12" s="582">
        <f>IF(H12="","",P12/($P$6*VLOOKUP(C12,'DCA Underwriting Assumptions'!$J$77:$K$82,2,FALSE)))</f>
        <v>0.44203099059214168</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3</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3633</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3</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3</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f t="shared" si="139"/>
        <v>3</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1</v>
      </c>
      <c r="D13" s="1312">
        <v>1</v>
      </c>
      <c r="E13" s="1313">
        <v>6</v>
      </c>
      <c r="F13" s="1313">
        <v>842</v>
      </c>
      <c r="G13" s="1313">
        <v>509</v>
      </c>
      <c r="H13" s="1313">
        <v>507</v>
      </c>
      <c r="I13" s="1313">
        <v>152</v>
      </c>
      <c r="J13" s="1314"/>
      <c r="K13" s="227">
        <f t="shared" si="172"/>
        <v>355</v>
      </c>
      <c r="L13" s="227">
        <f t="shared" si="0"/>
        <v>2130</v>
      </c>
      <c r="M13" s="1315" t="s">
        <v>3926</v>
      </c>
      <c r="N13" s="1315" t="s">
        <v>3968</v>
      </c>
      <c r="O13" s="1315" t="s">
        <v>3436</v>
      </c>
      <c r="P13" s="581">
        <f>IF(H13="","",H13*12/0.3)</f>
        <v>20280</v>
      </c>
      <c r="Q13" s="582">
        <f>IF(H13="","",P13/($P$6*VLOOKUP(C13,'DCA Underwriting Assumptions'!$J$77:$K$82,2,FALSE)))</f>
        <v>0.48633093525179855</v>
      </c>
      <c r="R13" s="739"/>
      <c r="S13" s="659"/>
      <c r="T13" s="113" t="str">
        <f t="shared" si="1"/>
        <v/>
      </c>
      <c r="U13" s="113">
        <f t="shared" si="2"/>
        <v>6</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5052</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6</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6</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f t="shared" si="137"/>
        <v>6</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1792</v>
      </c>
      <c r="C14" s="1311">
        <v>2</v>
      </c>
      <c r="D14" s="1312">
        <v>2</v>
      </c>
      <c r="E14" s="1313">
        <v>31</v>
      </c>
      <c r="F14" s="1313">
        <v>1056</v>
      </c>
      <c r="G14" s="1313">
        <v>632</v>
      </c>
      <c r="H14" s="1313">
        <v>630</v>
      </c>
      <c r="I14" s="1313">
        <v>195</v>
      </c>
      <c r="J14" s="1314"/>
      <c r="K14" s="227">
        <f t="shared" si="172"/>
        <v>435</v>
      </c>
      <c r="L14" s="227">
        <f t="shared" si="0"/>
        <v>13485</v>
      </c>
      <c r="M14" s="1315" t="s">
        <v>3926</v>
      </c>
      <c r="N14" s="1315" t="s">
        <v>3968</v>
      </c>
      <c r="O14" s="1315" t="s">
        <v>3436</v>
      </c>
      <c r="P14" s="581">
        <f>IF(H14="","",H14*12/0.3)</f>
        <v>25200</v>
      </c>
      <c r="Q14" s="582">
        <f>IF(H14="","",P14/($P$6*VLOOKUP(C14,'DCA Underwriting Assumptions'!$J$77:$K$82,2,FALSE)))</f>
        <v>0.50359712230215825</v>
      </c>
      <c r="R14" s="739"/>
      <c r="S14" s="659"/>
      <c r="T14" s="113" t="str">
        <f t="shared" si="1"/>
        <v/>
      </c>
      <c r="U14" s="113" t="str">
        <f t="shared" si="2"/>
        <v/>
      </c>
      <c r="V14" s="113">
        <f t="shared" si="3"/>
        <v>31</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32736</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31</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31</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f t="shared" si="138"/>
        <v>31</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1792</v>
      </c>
      <c r="C15" s="1311">
        <v>3</v>
      </c>
      <c r="D15" s="1312">
        <v>2</v>
      </c>
      <c r="E15" s="1313">
        <v>13</v>
      </c>
      <c r="F15" s="1313">
        <v>1211</v>
      </c>
      <c r="G15" s="1313">
        <v>755</v>
      </c>
      <c r="H15" s="1313">
        <v>739</v>
      </c>
      <c r="I15" s="1313">
        <v>239</v>
      </c>
      <c r="J15" s="1314"/>
      <c r="K15" s="227">
        <f t="shared" si="172"/>
        <v>500</v>
      </c>
      <c r="L15" s="227">
        <f t="shared" si="0"/>
        <v>6500</v>
      </c>
      <c r="M15" s="1315" t="s">
        <v>3926</v>
      </c>
      <c r="N15" s="1315" t="s">
        <v>3968</v>
      </c>
      <c r="O15" s="1315" t="s">
        <v>3436</v>
      </c>
      <c r="P15" s="581">
        <f t="shared" ref="P15:P47" si="203">IF(H15="","",H15*12/0.3)</f>
        <v>29560</v>
      </c>
      <c r="Q15" s="582">
        <f>IF(H15="","",P15/($P$6*VLOOKUP(C15,'DCA Underwriting Assumptions'!$J$77:$K$82,2,FALSE)))</f>
        <v>0.51120641947980072</v>
      </c>
      <c r="R15" s="739"/>
      <c r="S15" s="659"/>
      <c r="T15" s="113" t="str">
        <f t="shared" si="1"/>
        <v/>
      </c>
      <c r="U15" s="113" t="str">
        <f t="shared" si="2"/>
        <v/>
      </c>
      <c r="V15" s="113" t="str">
        <f t="shared" si="3"/>
        <v/>
      </c>
      <c r="W15" s="113">
        <f t="shared" si="4"/>
        <v>13</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15743</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13</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13</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f t="shared" si="139"/>
        <v>13</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3971</v>
      </c>
      <c r="C16" s="1311">
        <v>2</v>
      </c>
      <c r="D16" s="1312">
        <v>2</v>
      </c>
      <c r="E16" s="1313">
        <v>1</v>
      </c>
      <c r="F16" s="1313">
        <v>1056</v>
      </c>
      <c r="G16" s="1313">
        <v>0</v>
      </c>
      <c r="H16" s="1313">
        <v>0</v>
      </c>
      <c r="I16" s="1313">
        <v>0</v>
      </c>
      <c r="J16" s="1314"/>
      <c r="K16" s="227">
        <f t="shared" si="172"/>
        <v>0</v>
      </c>
      <c r="L16" s="227">
        <f t="shared" si="0"/>
        <v>0</v>
      </c>
      <c r="M16" s="1315" t="s">
        <v>3972</v>
      </c>
      <c r="N16" s="1315" t="s">
        <v>3968</v>
      </c>
      <c r="O16" s="1315" t="s">
        <v>3436</v>
      </c>
      <c r="P16" s="581">
        <f t="shared" si="203"/>
        <v>0</v>
      </c>
      <c r="Q16" s="582">
        <f>IF(H16="","",P16/($P$6*VLOOKUP(C16,'DCA Underwriting Assumptions'!$J$77:$K$82,2,FALSE)))</f>
        <v>0</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f t="shared" si="23"/>
        <v>1</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f t="shared" si="53"/>
        <v>1056</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f t="shared" si="68"/>
        <v>1</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1</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f t="shared" si="138"/>
        <v>1</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64</v>
      </c>
      <c r="F48" s="171">
        <f>(E10*F10+E11*F11+E12*F12+E13*F13+E14*F14+E15*F15+E16*F16+E17*F17+E18*F18+E19*F19+E20*F20+E21*F21+E22*F22+E23*F23+E24*F24+E25*F25+E26*F26+E27*F27+E28*F28+E29*F29+E30*F30+E31*F31+E32*F32+E33*F33+E34*F34+E35*F35+E36*F36+E37*F37+E38*F38+E39*F39+E40*F40+E41*F41+E42*F42+E43*F43+E44*F44+E45*F45+E46*F46+E47*F47)</f>
        <v>68352</v>
      </c>
      <c r="G48" s="162"/>
      <c r="H48" s="163"/>
      <c r="I48" s="163"/>
      <c r="J48" s="163"/>
      <c r="K48" s="15" t="s">
        <v>2003</v>
      </c>
      <c r="L48" s="169">
        <f>SUM(L10:L47)</f>
        <v>26815</v>
      </c>
      <c r="M48" s="2"/>
      <c r="N48" s="42"/>
      <c r="O48" s="2"/>
      <c r="P48" s="122"/>
      <c r="Q48" s="122"/>
      <c r="R48" s="739"/>
      <c r="S48" s="446"/>
      <c r="T48" s="446">
        <f t="shared" ref="T48:CI48" si="206">SUM(T10:T47)</f>
        <v>0</v>
      </c>
      <c r="U48" s="446">
        <f t="shared" si="206"/>
        <v>6</v>
      </c>
      <c r="V48" s="446">
        <f t="shared" si="206"/>
        <v>31</v>
      </c>
      <c r="W48" s="446">
        <f t="shared" si="206"/>
        <v>13</v>
      </c>
      <c r="X48" s="446">
        <f t="shared" si="206"/>
        <v>0</v>
      </c>
      <c r="Y48" s="446">
        <f t="shared" si="206"/>
        <v>0</v>
      </c>
      <c r="Z48" s="446">
        <f t="shared" si="206"/>
        <v>2</v>
      </c>
      <c r="AA48" s="446">
        <f t="shared" si="206"/>
        <v>8</v>
      </c>
      <c r="AB48" s="446">
        <f t="shared" si="206"/>
        <v>3</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5052</v>
      </c>
      <c r="BY48" s="446">
        <f t="shared" si="206"/>
        <v>32736</v>
      </c>
      <c r="BZ48" s="446">
        <f t="shared" si="206"/>
        <v>15743</v>
      </c>
      <c r="CA48" s="446">
        <f t="shared" si="206"/>
        <v>0</v>
      </c>
      <c r="CB48" s="446">
        <f t="shared" si="206"/>
        <v>0</v>
      </c>
      <c r="CC48" s="446">
        <f t="shared" si="206"/>
        <v>1684</v>
      </c>
      <c r="CD48" s="446">
        <f t="shared" si="206"/>
        <v>8448</v>
      </c>
      <c r="CE48" s="446">
        <f t="shared" si="206"/>
        <v>3633</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1056</v>
      </c>
      <c r="CY48" s="446">
        <f t="shared" si="208"/>
        <v>0</v>
      </c>
      <c r="CZ48" s="446">
        <f t="shared" si="208"/>
        <v>0</v>
      </c>
      <c r="DA48" s="446">
        <f t="shared" si="208"/>
        <v>0</v>
      </c>
      <c r="DB48" s="446">
        <f t="shared" si="208"/>
        <v>8</v>
      </c>
      <c r="DC48" s="446">
        <f t="shared" si="208"/>
        <v>39</v>
      </c>
      <c r="DD48" s="446">
        <f t="shared" si="208"/>
        <v>16</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1</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40</v>
      </c>
      <c r="EW48" s="446">
        <f t="shared" si="209"/>
        <v>16</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8</v>
      </c>
      <c r="GE48" s="446">
        <f t="shared" si="209"/>
        <v>40</v>
      </c>
      <c r="GF48" s="446">
        <f t="shared" si="209"/>
        <v>16</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321780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6</v>
      </c>
      <c r="J57" s="381">
        <f>V48</f>
        <v>31</v>
      </c>
      <c r="K57" s="381">
        <f>W48</f>
        <v>13</v>
      </c>
      <c r="L57" s="381">
        <f>X48</f>
        <v>0</v>
      </c>
      <c r="M57" s="381">
        <f t="shared" ref="M57:M63" si="211">SUM(H57:L57)</f>
        <v>50</v>
      </c>
      <c r="N57" s="974" t="s">
        <v>1484</v>
      </c>
      <c r="O57" s="975"/>
      <c r="P57" s="737"/>
      <c r="Q57" s="680">
        <f t="shared" ref="Q57:Q63" si="212">ABS(M57-AD57)</f>
        <v>0</v>
      </c>
      <c r="S57" s="207"/>
      <c r="T57" s="447" t="s">
        <v>1779</v>
      </c>
      <c r="U57" s="447"/>
      <c r="V57" s="447"/>
      <c r="W57" s="447"/>
      <c r="X57" s="448" t="s">
        <v>1792</v>
      </c>
      <c r="Y57" s="449">
        <f>T48</f>
        <v>0</v>
      </c>
      <c r="Z57" s="449">
        <f>U48</f>
        <v>6</v>
      </c>
      <c r="AA57" s="449">
        <f>V48</f>
        <v>31</v>
      </c>
      <c r="AB57" s="449">
        <f>W48</f>
        <v>13</v>
      </c>
      <c r="AC57" s="449">
        <f>X48</f>
        <v>0</v>
      </c>
      <c r="AD57" s="449">
        <f t="shared" ref="AD57:AD63" si="213">SUM(Y57:AC57)</f>
        <v>50</v>
      </c>
      <c r="AE57" s="448" t="s">
        <v>1556</v>
      </c>
      <c r="AF57" s="122"/>
      <c r="GU57" s="172"/>
      <c r="HJ57" s="113"/>
    </row>
    <row r="58" spans="1:221" ht="15" customHeight="1">
      <c r="A58" s="985" t="s">
        <v>653</v>
      </c>
      <c r="B58" s="985"/>
      <c r="C58" s="5"/>
      <c r="D58" s="2"/>
      <c r="E58" s="2"/>
      <c r="F58" s="2"/>
      <c r="G58" s="46" t="s">
        <v>133</v>
      </c>
      <c r="H58" s="382">
        <f>Y48</f>
        <v>0</v>
      </c>
      <c r="I58" s="382">
        <f>Z48</f>
        <v>2</v>
      </c>
      <c r="J58" s="382">
        <f>AA48</f>
        <v>8</v>
      </c>
      <c r="K58" s="382">
        <f>AB48</f>
        <v>3</v>
      </c>
      <c r="L58" s="382">
        <f>AC48</f>
        <v>0</v>
      </c>
      <c r="M58" s="382">
        <f t="shared" si="211"/>
        <v>13</v>
      </c>
      <c r="N58" s="974"/>
      <c r="O58" s="975"/>
      <c r="P58" s="737"/>
      <c r="Q58" s="680">
        <f t="shared" si="212"/>
        <v>0</v>
      </c>
      <c r="S58" s="207"/>
      <c r="T58" s="231"/>
      <c r="U58" s="447"/>
      <c r="V58" s="447"/>
      <c r="W58" s="447"/>
      <c r="X58" s="448" t="s">
        <v>133</v>
      </c>
      <c r="Y58" s="449">
        <f>Y48</f>
        <v>0</v>
      </c>
      <c r="Z58" s="449">
        <f>Z48</f>
        <v>2</v>
      </c>
      <c r="AA58" s="449">
        <f>AA48</f>
        <v>8</v>
      </c>
      <c r="AB58" s="449">
        <f>AB48</f>
        <v>3</v>
      </c>
      <c r="AC58" s="449">
        <f>AC48</f>
        <v>0</v>
      </c>
      <c r="AD58" s="449">
        <f t="shared" si="213"/>
        <v>13</v>
      </c>
      <c r="AE58" s="448"/>
      <c r="AF58" s="122"/>
      <c r="GU58" s="172"/>
      <c r="HJ58" s="113"/>
    </row>
    <row r="59" spans="1:221" ht="15" customHeight="1">
      <c r="A59" s="985"/>
      <c r="B59" s="985"/>
      <c r="C59" s="5"/>
      <c r="D59" s="2"/>
      <c r="E59" s="2"/>
      <c r="F59" s="2"/>
      <c r="G59" s="46" t="s">
        <v>833</v>
      </c>
      <c r="H59" s="383">
        <f>SUM(H57:H58)</f>
        <v>0</v>
      </c>
      <c r="I59" s="383">
        <f>SUM(I57:I58)</f>
        <v>8</v>
      </c>
      <c r="J59" s="383">
        <f>SUM(J57:J58)</f>
        <v>39</v>
      </c>
      <c r="K59" s="383">
        <f>SUM(K57:K58)</f>
        <v>16</v>
      </c>
      <c r="L59" s="383">
        <f>SUM(L57:L58)</f>
        <v>0</v>
      </c>
      <c r="M59" s="383">
        <f t="shared" si="211"/>
        <v>63</v>
      </c>
      <c r="N59" s="386"/>
      <c r="O59" s="113"/>
      <c r="Q59" s="680">
        <f t="shared" si="212"/>
        <v>0</v>
      </c>
      <c r="S59" s="207"/>
      <c r="T59" s="231"/>
      <c r="U59" s="447"/>
      <c r="V59" s="447"/>
      <c r="W59" s="447"/>
      <c r="X59" s="448" t="s">
        <v>833</v>
      </c>
      <c r="Y59" s="449">
        <f>SUM(Y57:Y58)</f>
        <v>0</v>
      </c>
      <c r="Z59" s="449">
        <f>SUM(Z57:Z58)</f>
        <v>8</v>
      </c>
      <c r="AA59" s="449">
        <f>SUM(AA57:AA58)</f>
        <v>39</v>
      </c>
      <c r="AB59" s="449">
        <f>SUM(AB57:AB58)</f>
        <v>16</v>
      </c>
      <c r="AC59" s="449">
        <f>SUM(AC57:AC58)</f>
        <v>0</v>
      </c>
      <c r="AD59" s="449">
        <f t="shared" si="213"/>
        <v>63</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8</v>
      </c>
      <c r="J61" s="383">
        <f>SUM(J59:J60)</f>
        <v>39</v>
      </c>
      <c r="K61" s="383">
        <f>SUM(K59:K60)</f>
        <v>16</v>
      </c>
      <c r="L61" s="383">
        <f>SUM(L59:L60)</f>
        <v>0</v>
      </c>
      <c r="M61" s="383">
        <f t="shared" si="211"/>
        <v>63</v>
      </c>
      <c r="N61" s="68"/>
      <c r="O61" s="113"/>
      <c r="Q61" s="680">
        <f t="shared" si="212"/>
        <v>0</v>
      </c>
      <c r="S61" s="207"/>
      <c r="T61" s="447" t="s">
        <v>1780</v>
      </c>
      <c r="U61" s="447"/>
      <c r="V61" s="447"/>
      <c r="W61" s="447"/>
      <c r="X61" s="448"/>
      <c r="Y61" s="449">
        <f>SUM(Y59:Y60)</f>
        <v>0</v>
      </c>
      <c r="Z61" s="449">
        <f>SUM(Z59:Z60)</f>
        <v>8</v>
      </c>
      <c r="AA61" s="449">
        <f>SUM(AA59:AA60)</f>
        <v>39</v>
      </c>
      <c r="AB61" s="449">
        <f>SUM(AB59:AB60)</f>
        <v>16</v>
      </c>
      <c r="AC61" s="449">
        <f>SUM(AC59:AC60)</f>
        <v>0</v>
      </c>
      <c r="AD61" s="449">
        <f t="shared" si="213"/>
        <v>63</v>
      </c>
      <c r="AE61" s="450"/>
      <c r="AF61" s="122"/>
      <c r="GU61" s="172"/>
      <c r="HJ61" s="113"/>
    </row>
    <row r="62" spans="1:221" ht="15" customHeight="1">
      <c r="A62" s="985"/>
      <c r="B62" s="985"/>
      <c r="C62" s="2" t="s">
        <v>3798</v>
      </c>
      <c r="D62" s="2"/>
      <c r="E62" s="2"/>
      <c r="F62" s="2"/>
      <c r="G62" s="46"/>
      <c r="H62" s="383">
        <f>BR48</f>
        <v>0</v>
      </c>
      <c r="I62" s="383">
        <f>BS48</f>
        <v>0</v>
      </c>
      <c r="J62" s="383">
        <f>BT48</f>
        <v>1</v>
      </c>
      <c r="K62" s="383">
        <f>BU48</f>
        <v>0</v>
      </c>
      <c r="L62" s="383">
        <f>BV48</f>
        <v>0</v>
      </c>
      <c r="M62" s="383">
        <f t="shared" si="211"/>
        <v>1</v>
      </c>
      <c r="N62" s="65" t="s">
        <v>3329</v>
      </c>
      <c r="O62" s="113"/>
      <c r="Q62" s="680">
        <f t="shared" si="212"/>
        <v>0</v>
      </c>
      <c r="S62" s="207"/>
      <c r="T62" s="447" t="s">
        <v>3798</v>
      </c>
      <c r="U62" s="447"/>
      <c r="V62" s="447"/>
      <c r="W62" s="447"/>
      <c r="X62" s="448"/>
      <c r="Y62" s="449">
        <f>BR48</f>
        <v>0</v>
      </c>
      <c r="Z62" s="449">
        <f>BS48</f>
        <v>0</v>
      </c>
      <c r="AA62" s="449">
        <f>BT48</f>
        <v>1</v>
      </c>
      <c r="AB62" s="449">
        <f>BU48</f>
        <v>0</v>
      </c>
      <c r="AC62" s="449">
        <f>BV48</f>
        <v>0</v>
      </c>
      <c r="AD62" s="449">
        <f t="shared" si="213"/>
        <v>1</v>
      </c>
      <c r="AE62" s="448" t="s">
        <v>841</v>
      </c>
      <c r="AF62" s="122"/>
      <c r="GU62" s="172"/>
      <c r="HJ62" s="113"/>
    </row>
    <row r="63" spans="1:221" ht="15" customHeight="1">
      <c r="A63" s="985"/>
      <c r="B63" s="985"/>
      <c r="C63" s="2" t="s">
        <v>833</v>
      </c>
      <c r="D63" s="2"/>
      <c r="E63" s="2"/>
      <c r="F63" s="2"/>
      <c r="G63" s="46"/>
      <c r="H63" s="383">
        <f>SUM(H61:H62)</f>
        <v>0</v>
      </c>
      <c r="I63" s="383">
        <f>SUM(I61:I62)</f>
        <v>8</v>
      </c>
      <c r="J63" s="383">
        <f>SUM(J61:J62)</f>
        <v>40</v>
      </c>
      <c r="K63" s="383">
        <f>SUM(K61:K62)</f>
        <v>16</v>
      </c>
      <c r="L63" s="383">
        <f>SUM(L61:L62)</f>
        <v>0</v>
      </c>
      <c r="M63" s="383">
        <f t="shared" si="211"/>
        <v>64</v>
      </c>
      <c r="O63" s="113"/>
      <c r="Q63" s="680">
        <f t="shared" si="212"/>
        <v>0</v>
      </c>
      <c r="S63" s="207"/>
      <c r="T63" s="447" t="s">
        <v>833</v>
      </c>
      <c r="U63" s="447"/>
      <c r="V63" s="447"/>
      <c r="W63" s="447"/>
      <c r="X63" s="448"/>
      <c r="Y63" s="449">
        <f>SUM(Y61:Y62)</f>
        <v>0</v>
      </c>
      <c r="Z63" s="449">
        <f>SUM(Z61:Z62)</f>
        <v>8</v>
      </c>
      <c r="AA63" s="449">
        <f>SUM(AA61:AA62)</f>
        <v>40</v>
      </c>
      <c r="AB63" s="449">
        <f>SUM(AB61:AB62)</f>
        <v>16</v>
      </c>
      <c r="AC63" s="449">
        <f>SUM(AC61:AC62)</f>
        <v>0</v>
      </c>
      <c r="AD63" s="449">
        <f t="shared" si="213"/>
        <v>64</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3436</v>
      </c>
      <c r="F73" s="2"/>
      <c r="G73" s="46" t="s">
        <v>2155</v>
      </c>
      <c r="H73" s="381">
        <f>DA48</f>
        <v>0</v>
      </c>
      <c r="I73" s="381">
        <f>DB48</f>
        <v>8</v>
      </c>
      <c r="J73" s="381">
        <f>DC48</f>
        <v>39</v>
      </c>
      <c r="K73" s="381">
        <f>DD48</f>
        <v>16</v>
      </c>
      <c r="L73" s="381">
        <f>DE48</f>
        <v>0</v>
      </c>
      <c r="M73" s="381">
        <f t="shared" ref="M73:M83" si="214">SUM(H73:L73)</f>
        <v>63</v>
      </c>
      <c r="N73" s="31"/>
      <c r="O73" s="113"/>
      <c r="Q73" s="680">
        <f t="shared" ref="Q73:Q81" si="215">ABS(M73-AD73)</f>
        <v>0</v>
      </c>
      <c r="S73" s="207"/>
      <c r="T73" s="447"/>
      <c r="U73" s="447"/>
      <c r="V73" s="451" t="s">
        <v>3436</v>
      </c>
      <c r="W73" s="447"/>
      <c r="X73" s="448" t="s">
        <v>2155</v>
      </c>
      <c r="Y73" s="449">
        <f>DA48</f>
        <v>0</v>
      </c>
      <c r="Z73" s="449">
        <f>DB48</f>
        <v>8</v>
      </c>
      <c r="AA73" s="449">
        <f>DC48</f>
        <v>39</v>
      </c>
      <c r="AB73" s="449">
        <f>DD48</f>
        <v>16</v>
      </c>
      <c r="AC73" s="449">
        <f>DE48</f>
        <v>0</v>
      </c>
      <c r="AD73" s="449">
        <f t="shared" ref="AD73:AD81" si="216">SUM(Y73:AC73)</f>
        <v>63</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8</v>
      </c>
      <c r="J75" s="383">
        <f>SUM(J73:J74)+DM48</f>
        <v>40</v>
      </c>
      <c r="K75" s="383">
        <f>SUM(K73:K74)+DN48</f>
        <v>16</v>
      </c>
      <c r="L75" s="383">
        <f>SUM(L73:L74)+DO48</f>
        <v>0</v>
      </c>
      <c r="M75" s="383">
        <f t="shared" si="214"/>
        <v>64</v>
      </c>
      <c r="N75" s="65"/>
      <c r="O75" s="113"/>
      <c r="Q75" s="680">
        <f t="shared" si="215"/>
        <v>0</v>
      </c>
      <c r="S75" s="207"/>
      <c r="T75" s="231"/>
      <c r="U75" s="447"/>
      <c r="V75" s="451"/>
      <c r="W75" s="447"/>
      <c r="X75" s="681" t="s">
        <v>34</v>
      </c>
      <c r="Y75" s="449">
        <f>SUM(Y73:Y74)+DK48</f>
        <v>0</v>
      </c>
      <c r="Z75" s="449">
        <f>SUM(Z73:Z74)+DL48</f>
        <v>8</v>
      </c>
      <c r="AA75" s="449">
        <f>SUM(AA73:AA74)+DM48</f>
        <v>40</v>
      </c>
      <c r="AB75" s="449">
        <f>SUM(AB73:AB74)+DN48</f>
        <v>16</v>
      </c>
      <c r="AC75" s="449">
        <f>SUM(AC73:AC74)+DO48</f>
        <v>0</v>
      </c>
      <c r="AD75" s="449">
        <f t="shared" si="216"/>
        <v>64</v>
      </c>
      <c r="AE75" s="448"/>
      <c r="AF75" s="122"/>
      <c r="GU75" s="172"/>
      <c r="HJ75" s="113"/>
    </row>
    <row r="76" spans="1:218" ht="15" customHeight="1">
      <c r="A76" s="985"/>
      <c r="B76" s="985"/>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8</v>
      </c>
      <c r="J85" s="381">
        <f>EV48</f>
        <v>40</v>
      </c>
      <c r="K85" s="381">
        <f>EW48</f>
        <v>16</v>
      </c>
      <c r="L85" s="381">
        <f>EX48</f>
        <v>0</v>
      </c>
      <c r="M85" s="381">
        <f>SUM(H85:L85)</f>
        <v>64</v>
      </c>
      <c r="N85" s="31"/>
      <c r="O85" s="113"/>
      <c r="Q85" s="680">
        <f>ABS(M85-AD85)</f>
        <v>0</v>
      </c>
      <c r="S85" s="207"/>
      <c r="T85" s="122"/>
      <c r="U85" s="122"/>
      <c r="V85" s="451" t="s">
        <v>46</v>
      </c>
      <c r="W85" s="122"/>
      <c r="X85" s="448"/>
      <c r="Y85" s="449">
        <f>ET48</f>
        <v>0</v>
      </c>
      <c r="Z85" s="449">
        <f>EU48</f>
        <v>8</v>
      </c>
      <c r="AA85" s="449">
        <f>EV48</f>
        <v>40</v>
      </c>
      <c r="AB85" s="449">
        <f>EW48</f>
        <v>16</v>
      </c>
      <c r="AC85" s="449">
        <f>EX48</f>
        <v>0</v>
      </c>
      <c r="AD85" s="449">
        <f>SUM(Y85:AC85)</f>
        <v>64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5052</v>
      </c>
      <c r="J92" s="223">
        <f>BY48</f>
        <v>32736</v>
      </c>
      <c r="K92" s="223">
        <f>BZ48</f>
        <v>15743</v>
      </c>
      <c r="L92" s="223">
        <f>CA48</f>
        <v>0</v>
      </c>
      <c r="M92" s="223">
        <f t="shared" ref="M92:M98" si="217">SUM(H92:L92)</f>
        <v>53531</v>
      </c>
      <c r="O92" s="113"/>
      <c r="Q92" s="680">
        <f t="shared" ref="Q92:Q98" si="218">ABS(M92-AD92)</f>
        <v>0</v>
      </c>
      <c r="S92" s="207"/>
      <c r="T92" s="447" t="s">
        <v>3237</v>
      </c>
      <c r="U92" s="447"/>
      <c r="V92" s="447"/>
      <c r="W92" s="447"/>
      <c r="X92" s="448" t="s">
        <v>1792</v>
      </c>
      <c r="Y92" s="449">
        <f>BW48</f>
        <v>0</v>
      </c>
      <c r="Z92" s="449">
        <f>BX48</f>
        <v>5052</v>
      </c>
      <c r="AA92" s="449">
        <f>BY48</f>
        <v>32736</v>
      </c>
      <c r="AB92" s="449">
        <f>BZ48</f>
        <v>15743</v>
      </c>
      <c r="AC92" s="449">
        <f>CA48</f>
        <v>0</v>
      </c>
      <c r="AD92" s="449">
        <f t="shared" ref="AD92:AD98" si="219">SUM(Y92:AC92)</f>
        <v>53531</v>
      </c>
      <c r="AE92" s="207"/>
      <c r="AF92" s="122"/>
      <c r="GU92" s="172"/>
      <c r="HJ92" s="113"/>
    </row>
    <row r="93" spans="1:218" ht="15" customHeight="1">
      <c r="C93" s="5"/>
      <c r="D93" s="2"/>
      <c r="E93" s="2"/>
      <c r="F93" s="2"/>
      <c r="G93" s="46" t="s">
        <v>133</v>
      </c>
      <c r="H93" s="225">
        <f>CB48</f>
        <v>0</v>
      </c>
      <c r="I93" s="225">
        <f>CC48</f>
        <v>1684</v>
      </c>
      <c r="J93" s="225">
        <f>CD48</f>
        <v>8448</v>
      </c>
      <c r="K93" s="225">
        <f>CE48</f>
        <v>3633</v>
      </c>
      <c r="L93" s="225">
        <f>CF48</f>
        <v>0</v>
      </c>
      <c r="M93" s="225">
        <f t="shared" si="217"/>
        <v>13765</v>
      </c>
      <c r="N93" s="6"/>
      <c r="O93" s="113"/>
      <c r="Q93" s="680">
        <f t="shared" si="218"/>
        <v>0</v>
      </c>
      <c r="S93" s="207"/>
      <c r="T93" s="231"/>
      <c r="U93" s="447"/>
      <c r="V93" s="447"/>
      <c r="W93" s="447"/>
      <c r="X93" s="448" t="s">
        <v>133</v>
      </c>
      <c r="Y93" s="449">
        <f>CB48</f>
        <v>0</v>
      </c>
      <c r="Z93" s="449">
        <f>CC48</f>
        <v>1684</v>
      </c>
      <c r="AA93" s="449">
        <f>CD48</f>
        <v>8448</v>
      </c>
      <c r="AB93" s="449">
        <f>CE48</f>
        <v>3633</v>
      </c>
      <c r="AC93" s="449">
        <f>CF48</f>
        <v>0</v>
      </c>
      <c r="AD93" s="449">
        <f t="shared" si="219"/>
        <v>13765</v>
      </c>
      <c r="AE93" s="447"/>
      <c r="AF93" s="122"/>
      <c r="GU93" s="172"/>
      <c r="HJ93" s="113"/>
    </row>
    <row r="94" spans="1:218" ht="15" customHeight="1">
      <c r="C94" s="5"/>
      <c r="D94" s="2"/>
      <c r="E94" s="2"/>
      <c r="F94" s="2"/>
      <c r="G94" s="46" t="s">
        <v>833</v>
      </c>
      <c r="H94" s="222">
        <f>SUM(H92:H93)</f>
        <v>0</v>
      </c>
      <c r="I94" s="222">
        <f>SUM(I92:I93)</f>
        <v>6736</v>
      </c>
      <c r="J94" s="222">
        <f>SUM(J92:J93)</f>
        <v>41184</v>
      </c>
      <c r="K94" s="222">
        <f>SUM(K92:K93)</f>
        <v>19376</v>
      </c>
      <c r="L94" s="222">
        <f>SUM(L92:L93)</f>
        <v>0</v>
      </c>
      <c r="M94" s="222">
        <f t="shared" si="217"/>
        <v>67296</v>
      </c>
      <c r="N94" s="6"/>
      <c r="O94" s="113"/>
      <c r="Q94" s="680">
        <f t="shared" si="218"/>
        <v>0</v>
      </c>
      <c r="S94" s="207"/>
      <c r="T94" s="231"/>
      <c r="U94" s="447"/>
      <c r="V94" s="447"/>
      <c r="W94" s="447"/>
      <c r="X94" s="448" t="s">
        <v>833</v>
      </c>
      <c r="Y94" s="449">
        <f>SUM(Y92:Y93)</f>
        <v>0</v>
      </c>
      <c r="Z94" s="449">
        <f>SUM(Z92:Z93)</f>
        <v>6736</v>
      </c>
      <c r="AA94" s="449">
        <f>SUM(AA92:AA93)</f>
        <v>41184</v>
      </c>
      <c r="AB94" s="449">
        <f>SUM(AB92:AB93)</f>
        <v>19376</v>
      </c>
      <c r="AC94" s="449">
        <f>SUM(AC92:AC93)</f>
        <v>0</v>
      </c>
      <c r="AD94" s="449">
        <f t="shared" si="219"/>
        <v>67296</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6736</v>
      </c>
      <c r="J96" s="222">
        <f>SUM(J94:J95)</f>
        <v>41184</v>
      </c>
      <c r="K96" s="222">
        <f>SUM(K94:K95)</f>
        <v>19376</v>
      </c>
      <c r="L96" s="222">
        <f>SUM(L94:L95)</f>
        <v>0</v>
      </c>
      <c r="M96" s="222">
        <f t="shared" si="217"/>
        <v>67296</v>
      </c>
      <c r="O96" s="113"/>
      <c r="Q96" s="680">
        <f t="shared" si="218"/>
        <v>0</v>
      </c>
      <c r="S96" s="207"/>
      <c r="T96" s="447" t="s">
        <v>1780</v>
      </c>
      <c r="U96" s="447"/>
      <c r="V96" s="447"/>
      <c r="W96" s="447"/>
      <c r="X96" s="447"/>
      <c r="Y96" s="449">
        <f>SUM(Y94:Y95)</f>
        <v>0</v>
      </c>
      <c r="Z96" s="449">
        <f>SUM(Z94:Z95)</f>
        <v>6736</v>
      </c>
      <c r="AA96" s="449">
        <f>SUM(AA94:AA95)</f>
        <v>41184</v>
      </c>
      <c r="AB96" s="449">
        <f>SUM(AB94:AB95)</f>
        <v>19376</v>
      </c>
      <c r="AC96" s="449">
        <f>SUM(AC94:AC95)</f>
        <v>0</v>
      </c>
      <c r="AD96" s="449">
        <f t="shared" si="219"/>
        <v>67296</v>
      </c>
      <c r="AE96" s="207"/>
      <c r="AF96" s="122"/>
      <c r="GU96" s="172"/>
      <c r="HJ96" s="113"/>
    </row>
    <row r="97" spans="1:220" ht="15" customHeight="1">
      <c r="C97" s="6" t="s">
        <v>3798</v>
      </c>
      <c r="D97" s="2"/>
      <c r="E97" s="2"/>
      <c r="F97" s="2"/>
      <c r="G97" s="2"/>
      <c r="H97" s="222">
        <f>CV48</f>
        <v>0</v>
      </c>
      <c r="I97" s="222">
        <f>CW48</f>
        <v>0</v>
      </c>
      <c r="J97" s="222">
        <f>CX48</f>
        <v>1056</v>
      </c>
      <c r="K97" s="222">
        <f>CY48</f>
        <v>0</v>
      </c>
      <c r="L97" s="222">
        <f>CZ48</f>
        <v>0</v>
      </c>
      <c r="M97" s="222">
        <f t="shared" si="217"/>
        <v>1056</v>
      </c>
      <c r="O97" s="113"/>
      <c r="Q97" s="680">
        <f t="shared" si="218"/>
        <v>0</v>
      </c>
      <c r="S97" s="207"/>
      <c r="T97" s="447" t="s">
        <v>3798</v>
      </c>
      <c r="U97" s="447"/>
      <c r="V97" s="447"/>
      <c r="W97" s="447"/>
      <c r="X97" s="447"/>
      <c r="Y97" s="449">
        <f>CV48</f>
        <v>0</v>
      </c>
      <c r="Z97" s="449">
        <f>CW48</f>
        <v>0</v>
      </c>
      <c r="AA97" s="449">
        <f>CX48</f>
        <v>1056</v>
      </c>
      <c r="AB97" s="449">
        <f>CY48</f>
        <v>0</v>
      </c>
      <c r="AC97" s="449">
        <f>CZ48</f>
        <v>0</v>
      </c>
      <c r="AD97" s="449">
        <f t="shared" si="219"/>
        <v>1056</v>
      </c>
      <c r="AE97" s="207"/>
      <c r="AF97" s="122"/>
      <c r="GU97" s="172"/>
      <c r="HJ97" s="113"/>
    </row>
    <row r="98" spans="1:220" ht="15" customHeight="1">
      <c r="C98" s="6" t="s">
        <v>833</v>
      </c>
      <c r="D98" s="2"/>
      <c r="E98" s="2"/>
      <c r="F98" s="2"/>
      <c r="G98" s="2"/>
      <c r="H98" s="222">
        <f>SUM(H96:H97)</f>
        <v>0</v>
      </c>
      <c r="I98" s="222">
        <f>SUM(I96:I97)</f>
        <v>6736</v>
      </c>
      <c r="J98" s="222">
        <f>SUM(J96:J97)</f>
        <v>42240</v>
      </c>
      <c r="K98" s="222">
        <f>SUM(K96:K97)</f>
        <v>19376</v>
      </c>
      <c r="L98" s="222">
        <f>SUM(L96:L97)</f>
        <v>0</v>
      </c>
      <c r="M98" s="222">
        <f t="shared" si="217"/>
        <v>68352</v>
      </c>
      <c r="O98" s="113"/>
      <c r="Q98" s="680">
        <f t="shared" si="218"/>
        <v>0</v>
      </c>
      <c r="S98" s="207"/>
      <c r="T98" s="447" t="s">
        <v>833</v>
      </c>
      <c r="U98" s="447"/>
      <c r="V98" s="447"/>
      <c r="W98" s="447"/>
      <c r="X98" s="447"/>
      <c r="Y98" s="449">
        <f>SUM(Y96:Y97)</f>
        <v>0</v>
      </c>
      <c r="Z98" s="449">
        <f>SUM(Z96:Z97)</f>
        <v>6736</v>
      </c>
      <c r="AA98" s="449">
        <f>SUM(AA96:AA97)</f>
        <v>42240</v>
      </c>
      <c r="AB98" s="449">
        <f>SUM(AB96:AB97)</f>
        <v>19376</v>
      </c>
      <c r="AC98" s="449">
        <f>SUM(AC96:AC97)</f>
        <v>0</v>
      </c>
      <c r="AD98" s="449">
        <f t="shared" si="219"/>
        <v>68352</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6435.6</v>
      </c>
      <c r="H102" s="973"/>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2824</v>
      </c>
      <c r="B139" s="712" t="s">
        <v>1636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32970</v>
      </c>
      <c r="G142" s="1332"/>
      <c r="H142" s="2"/>
      <c r="I142" s="2" t="s">
        <v>2081</v>
      </c>
      <c r="J142" s="2"/>
      <c r="K142" s="1331"/>
      <c r="L142" s="1332"/>
      <c r="M142" s="2"/>
      <c r="N142" s="2" t="s">
        <v>1525</v>
      </c>
      <c r="O142" s="2"/>
      <c r="P142" s="1333">
        <v>39296</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16530</v>
      </c>
      <c r="G143" s="1332"/>
      <c r="H143" s="2"/>
      <c r="I143" s="2" t="s">
        <v>2082</v>
      </c>
      <c r="J143" s="2"/>
      <c r="K143" s="1331"/>
      <c r="L143" s="1332"/>
      <c r="M143" s="2"/>
      <c r="N143" s="2" t="s">
        <v>200</v>
      </c>
      <c r="O143" s="2"/>
      <c r="P143" s="1333">
        <v>21542</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6">
        <f>SUM(K142:L143)</f>
        <v>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60838</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49500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27472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6000</v>
      </c>
      <c r="G149" s="1332"/>
      <c r="H149" s="2"/>
      <c r="I149" s="2" t="s">
        <v>2365</v>
      </c>
      <c r="J149" s="2"/>
      <c r="K149" s="1342">
        <v>7000</v>
      </c>
      <c r="L149" s="1343"/>
      <c r="M149" s="2"/>
      <c r="N149" s="610">
        <f>+P148/(M63*0.93)</f>
        <v>461.55913978494624</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2000</v>
      </c>
      <c r="G150" s="1332"/>
      <c r="H150" s="2"/>
      <c r="I150" s="2" t="s">
        <v>3141</v>
      </c>
      <c r="J150" s="2"/>
      <c r="K150" s="1344">
        <v>12000</v>
      </c>
      <c r="L150" s="1345"/>
      <c r="M150" s="2"/>
      <c r="N150" s="610">
        <f>+P148/(M63*0.93)/12</f>
        <v>38.463261648745522</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12000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c r="G153" s="1332"/>
      <c r="H153" s="2"/>
      <c r="I153" s="11"/>
      <c r="J153" s="13" t="s">
        <v>249</v>
      </c>
      <c r="K153" s="983">
        <f>SUM(K149:K152)</f>
        <v>31000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8000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3"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8561</v>
      </c>
      <c r="G158" s="1347"/>
      <c r="H158" s="2"/>
      <c r="I158" s="2" t="s">
        <v>2071</v>
      </c>
      <c r="J158" s="662">
        <f>K158/12/$M$63</f>
        <v>2.34375</v>
      </c>
      <c r="K158" s="1344">
        <v>1800</v>
      </c>
      <c r="L158" s="1345"/>
      <c r="M158" s="2"/>
      <c r="N158" s="368">
        <f>+$P$158/$M$63</f>
        <v>3549.546875</v>
      </c>
      <c r="O158" s="30" t="s">
        <v>2111</v>
      </c>
      <c r="P158" s="663">
        <f>F146+F155+F166+K144+K153+K163+P145+P148</f>
        <v>227171</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6400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12800</v>
      </c>
      <c r="G160" s="1347"/>
      <c r="H160" s="2"/>
      <c r="I160" s="2" t="s">
        <v>3554</v>
      </c>
      <c r="J160" s="662">
        <f>K160/12/$M$63</f>
        <v>10.416666666666666</v>
      </c>
      <c r="K160" s="1344">
        <v>8000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4800</v>
      </c>
      <c r="G161" s="1332"/>
      <c r="H161" s="2"/>
      <c r="I161" s="2" t="s">
        <v>2074</v>
      </c>
      <c r="J161" s="2"/>
      <c r="K161" s="1344">
        <v>8000</v>
      </c>
      <c r="L161" s="1345"/>
      <c r="M161" s="2"/>
      <c r="N161" s="11" t="s">
        <v>1923</v>
      </c>
      <c r="O161" s="11"/>
      <c r="P161" s="664">
        <f>P162*M63</f>
        <v>16000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c r="G162" s="1332"/>
      <c r="H162" s="2"/>
      <c r="I162" s="1334" t="s">
        <v>60</v>
      </c>
      <c r="J162" s="1335"/>
      <c r="K162" s="1342"/>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83">
        <f>SUM(K158:K162)</f>
        <v>17800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32561</v>
      </c>
      <c r="G166" s="982"/>
      <c r="H166" s="2"/>
      <c r="I166" s="2"/>
      <c r="J166" s="14"/>
      <c r="K166" s="2"/>
      <c r="L166" s="2"/>
      <c r="M166" s="2"/>
      <c r="N166" s="2"/>
      <c r="O166" s="2"/>
      <c r="P166" s="663">
        <f>P158+P161</f>
        <v>243171</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2826</v>
      </c>
      <c r="B168" s="16" t="s">
        <v>880</v>
      </c>
      <c r="K168" s="16" t="s">
        <v>823</v>
      </c>
      <c r="L168" s="16" t="s">
        <v>2898</v>
      </c>
    </row>
    <row r="169" spans="1:219" ht="51.6" customHeight="1">
      <c r="A169" s="1290" t="s">
        <v>4016</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4012</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51" zoomScale="90" zoomScaleNormal="90" workbookViewId="0">
      <selection activeCell="C31" sqref="C31"/>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2011-020 Heritage Vista Apartments, Milledgeville, Baldwin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2500</v>
      </c>
      <c r="H5" s="132" t="s">
        <v>2972</v>
      </c>
      <c r="K5" s="138">
        <f>IF(($B$14+$B$15+$B$16+$B$17)=0,"",-B30/($B$14+$B$15+$B$16+$B$17))</f>
        <v>8.1902628729735964E-3</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9.0001160658532267E-2</v>
      </c>
    </row>
    <row r="8" spans="1:15" ht="13.15" customHeight="1">
      <c r="A8" s="19" t="s">
        <v>3298</v>
      </c>
      <c r="B8" s="1281">
        <v>7.0000000000000007E-2</v>
      </c>
      <c r="C8" s="19"/>
      <c r="D8" s="109" t="s">
        <v>3790</v>
      </c>
      <c r="G8" s="1282" t="s">
        <v>3933</v>
      </c>
      <c r="H8" s="232" t="s">
        <v>2169</v>
      </c>
      <c r="K8" s="1283">
        <v>27472</v>
      </c>
    </row>
    <row r="9" spans="1:15">
      <c r="A9" s="19" t="s">
        <v>2130</v>
      </c>
      <c r="B9" s="108">
        <v>0.02</v>
      </c>
      <c r="D9" s="109" t="s">
        <v>2744</v>
      </c>
      <c r="G9" s="1282" t="s">
        <v>3926</v>
      </c>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321780</v>
      </c>
      <c r="C14" s="22">
        <f t="shared" ref="C14:K14" si="1">$B$14*(1+$B$5)^(C13-1)</f>
        <v>328215.59999999998</v>
      </c>
      <c r="D14" s="22">
        <f t="shared" si="1"/>
        <v>334779.91200000001</v>
      </c>
      <c r="E14" s="22">
        <f t="shared" si="1"/>
        <v>341475.51023999997</v>
      </c>
      <c r="F14" s="22">
        <f t="shared" si="1"/>
        <v>348305.02044479997</v>
      </c>
      <c r="G14" s="22">
        <f t="shared" si="1"/>
        <v>355271.12085369602</v>
      </c>
      <c r="H14" s="22">
        <f t="shared" si="1"/>
        <v>362376.54327076994</v>
      </c>
      <c r="I14" s="22">
        <f t="shared" si="1"/>
        <v>369624.07413618529</v>
      </c>
      <c r="J14" s="22">
        <f t="shared" si="1"/>
        <v>377016.55561890901</v>
      </c>
      <c r="K14" s="23">
        <f t="shared" si="1"/>
        <v>384556.88673128717</v>
      </c>
    </row>
    <row r="15" spans="1:15" ht="13.15" customHeight="1">
      <c r="A15" s="24" t="s">
        <v>1633</v>
      </c>
      <c r="B15" s="25">
        <f>MIN(B14*B9,'Part VI-Revenues &amp; Expenses'!G102)</f>
        <v>6435.6</v>
      </c>
      <c r="C15" s="25">
        <f t="shared" ref="C15:K15" si="2">$B$15*(1+$B$5)^(C13-1)</f>
        <v>6564.3120000000008</v>
      </c>
      <c r="D15" s="25">
        <f t="shared" si="2"/>
        <v>6695.5982400000003</v>
      </c>
      <c r="E15" s="25">
        <f t="shared" si="2"/>
        <v>6829.5102047999999</v>
      </c>
      <c r="F15" s="25">
        <f t="shared" si="2"/>
        <v>6966.1004088959999</v>
      </c>
      <c r="G15" s="25">
        <f t="shared" si="2"/>
        <v>7105.4224170739208</v>
      </c>
      <c r="H15" s="25">
        <f t="shared" si="2"/>
        <v>7247.5308654153996</v>
      </c>
      <c r="I15" s="25">
        <f t="shared" si="2"/>
        <v>7392.481482723706</v>
      </c>
      <c r="J15" s="25">
        <f t="shared" si="2"/>
        <v>7540.3311123781805</v>
      </c>
      <c r="K15" s="26">
        <f t="shared" si="2"/>
        <v>7691.1377346257441</v>
      </c>
    </row>
    <row r="16" spans="1:15" ht="13.15" customHeight="1">
      <c r="A16" s="24" t="s">
        <v>3644</v>
      </c>
      <c r="B16" s="25">
        <f t="shared" ref="B16:K16" si="3">-(B14+B15)*$B$8</f>
        <v>-22975.092000000001</v>
      </c>
      <c r="C16" s="25">
        <f t="shared" si="3"/>
        <v>-23434.593839999998</v>
      </c>
      <c r="D16" s="25">
        <f t="shared" si="3"/>
        <v>-23903.285716800005</v>
      </c>
      <c r="E16" s="25">
        <f t="shared" si="3"/>
        <v>-24381.351431136001</v>
      </c>
      <c r="F16" s="25">
        <f t="shared" si="3"/>
        <v>-24868.97845975872</v>
      </c>
      <c r="G16" s="25">
        <f t="shared" si="3"/>
        <v>-25366.358028953899</v>
      </c>
      <c r="H16" s="25">
        <f t="shared" si="3"/>
        <v>-25873.685189532978</v>
      </c>
      <c r="I16" s="25">
        <f t="shared" si="3"/>
        <v>-26391.158893323634</v>
      </c>
      <c r="J16" s="25">
        <f t="shared" si="3"/>
        <v>-26918.982071190105</v>
      </c>
      <c r="K16" s="26">
        <f t="shared" si="3"/>
        <v>-27457.361712613907</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-199699</v>
      </c>
      <c r="C19" s="25">
        <f t="shared" ref="C19:K19" si="4">$B$19*(1+$B$6)^(C13-1)</f>
        <v>-205689.97</v>
      </c>
      <c r="D19" s="25">
        <f t="shared" si="4"/>
        <v>-211860.6691</v>
      </c>
      <c r="E19" s="25">
        <f t="shared" si="4"/>
        <v>-218216.48917300001</v>
      </c>
      <c r="F19" s="25">
        <f t="shared" si="4"/>
        <v>-224762.98384818999</v>
      </c>
      <c r="G19" s="25">
        <f t="shared" si="4"/>
        <v>-231505.87336363568</v>
      </c>
      <c r="H19" s="25">
        <f t="shared" si="4"/>
        <v>-238451.04956454475</v>
      </c>
      <c r="I19" s="25">
        <f t="shared" si="4"/>
        <v>-245604.5810514811</v>
      </c>
      <c r="J19" s="25">
        <f t="shared" si="4"/>
        <v>-252972.71848302553</v>
      </c>
      <c r="K19" s="26">
        <f t="shared" si="4"/>
        <v>-260561.90003751629</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-27472</v>
      </c>
      <c r="C20" s="25">
        <f>IF(AND('Part VII-Pro Forma'!$G$8="Yes",'Part VII-Pro Forma'!$G$9="Yes"),"Choose One!",IF('Part VII-Pro Forma'!$G$8="Yes",ROUND((-$K$8*(1+'Part VII-Pro Forma'!$B$6)^('Part VII-Pro Forma'!C13-1)),),IF('Part VII-Pro Forma'!$G$9="Yes",ROUND((-(SUM(C14:C17)*'Part VII-Pro Forma'!$K$9)),),"Choose mgt fee")))</f>
        <v>-28296</v>
      </c>
      <c r="D20" s="25">
        <f>IF(AND('Part VII-Pro Forma'!$G$8="Yes",'Part VII-Pro Forma'!$G$9="Yes"),"Choose One!",IF('Part VII-Pro Forma'!$G$8="Yes",ROUND((-$K$8*(1+'Part VII-Pro Forma'!$B$6)^('Part VII-Pro Forma'!D13-1)),),IF('Part VII-Pro Forma'!$G$9="Yes",ROUND((-(SUM(D14:D17)*'Part VII-Pro Forma'!$K$9)),),"Choose mgt fee")))</f>
        <v>-29145</v>
      </c>
      <c r="E20" s="25">
        <f>IF(AND('Part VII-Pro Forma'!$G$8="Yes",'Part VII-Pro Forma'!$G$9="Yes"),"Choose One!",IF('Part VII-Pro Forma'!$G$8="Yes",ROUND((-$K$8*(1+'Part VII-Pro Forma'!$B$6)^('Part VII-Pro Forma'!E13-1)),),IF('Part VII-Pro Forma'!$G$9="Yes",ROUND((-(SUM(E14:E17)*'Part VII-Pro Forma'!$K$9)),),"Choose mgt fee")))</f>
        <v>-30019</v>
      </c>
      <c r="F20" s="25">
        <f>IF(AND('Part VII-Pro Forma'!$G$8="Yes",'Part VII-Pro Forma'!$G$9="Yes"),"Choose One!",IF('Part VII-Pro Forma'!$G$8="Yes",ROUND((-$K$8*(1+'Part VII-Pro Forma'!$B$6)^('Part VII-Pro Forma'!F13-1)),),IF('Part VII-Pro Forma'!$G$9="Yes",ROUND((-(SUM(F14:F17)*'Part VII-Pro Forma'!$K$9)),),"Choose mgt fee")))</f>
        <v>-30920</v>
      </c>
      <c r="G20" s="25">
        <f>IF(AND('Part VII-Pro Forma'!$G$8="Yes",'Part VII-Pro Forma'!$G$9="Yes"),"Choose One!",IF('Part VII-Pro Forma'!$G$8="Yes",ROUND((-$K$8*(1+'Part VII-Pro Forma'!$B$6)^('Part VII-Pro Forma'!G13-1)),),IF('Part VII-Pro Forma'!$G$9="Yes",ROUND((-(SUM(G14:G17)*'Part VII-Pro Forma'!$K$9)),),"Choose mgt fee")))</f>
        <v>-31848</v>
      </c>
      <c r="H20" s="25">
        <f>IF(AND('Part VII-Pro Forma'!$G$8="Yes",'Part VII-Pro Forma'!$G$9="Yes"),"Choose One!",IF('Part VII-Pro Forma'!$G$8="Yes",ROUND((-$K$8*(1+'Part VII-Pro Forma'!$B$6)^('Part VII-Pro Forma'!H13-1)),),IF('Part VII-Pro Forma'!$G$9="Yes",ROUND((-(SUM(H14:H17)*'Part VII-Pro Forma'!$K$9)),),"Choose mgt fee")))</f>
        <v>-32803</v>
      </c>
      <c r="I20" s="25">
        <f>IF(AND('Part VII-Pro Forma'!$G$8="Yes",'Part VII-Pro Forma'!$G$9="Yes"),"Choose One!",IF('Part VII-Pro Forma'!$G$8="Yes",ROUND((-$K$8*(1+'Part VII-Pro Forma'!$B$6)^('Part VII-Pro Forma'!I13-1)),),IF('Part VII-Pro Forma'!$G$9="Yes",ROUND((-(SUM(I14:I17)*'Part VII-Pro Forma'!$K$9)),),"Choose mgt fee")))</f>
        <v>-33787</v>
      </c>
      <c r="J20" s="25">
        <f>IF(AND('Part VII-Pro Forma'!$G$8="Yes",'Part VII-Pro Forma'!$G$9="Yes"),"Choose One!",IF('Part VII-Pro Forma'!$G$8="Yes",ROUND((-$K$8*(1+'Part VII-Pro Forma'!$B$6)^('Part VII-Pro Forma'!J13-1)),),IF('Part VII-Pro Forma'!$G$9="Yes",ROUND((-(SUM(J14:J17)*'Part VII-Pro Forma'!$K$9)),),"Choose mgt fee")))</f>
        <v>-34801</v>
      </c>
      <c r="K20" s="25">
        <f>IF(AND('Part VII-Pro Forma'!$G$8="Yes",'Part VII-Pro Forma'!$G$9="Yes"),"Choose One!",IF('Part VII-Pro Forma'!$G$8="Yes",ROUND((-$K$8*(1+'Part VII-Pro Forma'!$B$6)^('Part VII-Pro Forma'!K13-1)),),IF('Part VII-Pro Forma'!$G$9="Yes",ROUND((-(SUM(K14:K17)*'Part VII-Pro Forma'!$K$9)),),"Choose mgt fee")))</f>
        <v>-35845</v>
      </c>
    </row>
    <row r="21" spans="1:11" ht="13.15" customHeight="1">
      <c r="A21" s="24" t="s">
        <v>1863</v>
      </c>
      <c r="B21" s="25">
        <f>-('Part VI-Revenues &amp; Expenses'!P161)</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row>
    <row r="22" spans="1:11" ht="13.15" customHeight="1">
      <c r="A22" s="24" t="s">
        <v>1864</v>
      </c>
      <c r="B22" s="25">
        <f t="shared" ref="B22:K22" si="6">SUM(B14:B21)</f>
        <v>62069.507999999973</v>
      </c>
      <c r="C22" s="25">
        <f t="shared" si="6"/>
        <v>60879.348159999965</v>
      </c>
      <c r="D22" s="25">
        <f t="shared" si="6"/>
        <v>59592.15542320002</v>
      </c>
      <c r="E22" s="25">
        <f t="shared" si="6"/>
        <v>58204.547840663945</v>
      </c>
      <c r="F22" s="25">
        <f t="shared" si="6"/>
        <v>56711.017585747228</v>
      </c>
      <c r="G22" s="25">
        <f t="shared" si="6"/>
        <v>55107.926689380365</v>
      </c>
      <c r="H22" s="25">
        <f t="shared" si="6"/>
        <v>53391.5026376436</v>
      </c>
      <c r="I22" s="25">
        <f t="shared" si="6"/>
        <v>51555.833827306371</v>
      </c>
      <c r="J22" s="25">
        <f t="shared" si="6"/>
        <v>49595.864874869709</v>
      </c>
      <c r="K22" s="26">
        <f t="shared" si="6"/>
        <v>47507.391774514792</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v>-51724</v>
      </c>
      <c r="C25" s="1285">
        <v>-50732</v>
      </c>
      <c r="D25" s="1285">
        <v>-49660</v>
      </c>
      <c r="E25" s="1285">
        <v>-48503</v>
      </c>
      <c r="F25" s="1285">
        <v>-47259</v>
      </c>
      <c r="G25" s="1285">
        <v>-45923</v>
      </c>
      <c r="H25" s="1285">
        <v>-44943</v>
      </c>
      <c r="I25" s="1285">
        <v>-42963</v>
      </c>
      <c r="J25" s="1285">
        <v>-41330</v>
      </c>
      <c r="K25" s="1285">
        <v>-39589</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-2500</v>
      </c>
      <c r="C30" s="1285">
        <f t="shared" ref="C30:K30" si="7">+B30</f>
        <v>-2500</v>
      </c>
      <c r="D30" s="1285">
        <f t="shared" si="7"/>
        <v>-2500</v>
      </c>
      <c r="E30" s="1285">
        <f t="shared" si="7"/>
        <v>-2500</v>
      </c>
      <c r="F30" s="1285">
        <f t="shared" si="7"/>
        <v>-2500</v>
      </c>
      <c r="G30" s="1285">
        <f t="shared" si="7"/>
        <v>-2500</v>
      </c>
      <c r="H30" s="1285">
        <f t="shared" si="7"/>
        <v>-2500</v>
      </c>
      <c r="I30" s="1285">
        <f t="shared" si="7"/>
        <v>-2500</v>
      </c>
      <c r="J30" s="1285">
        <f t="shared" si="7"/>
        <v>-2500</v>
      </c>
      <c r="K30" s="1285">
        <f t="shared" si="7"/>
        <v>-2500</v>
      </c>
    </row>
    <row r="31" spans="1:11" ht="13.15" customHeight="1">
      <c r="A31" s="24" t="s">
        <v>1865</v>
      </c>
      <c r="B31" s="1285">
        <v>-6000</v>
      </c>
      <c r="C31" s="1285">
        <v>-6000</v>
      </c>
      <c r="D31" s="1285">
        <v>-5000</v>
      </c>
      <c r="E31" s="1285">
        <v>-4721</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1845.5079999999725</v>
      </c>
      <c r="C33" s="25">
        <f t="shared" si="9"/>
        <v>1647.348159999965</v>
      </c>
      <c r="D33" s="25">
        <f t="shared" si="9"/>
        <v>2432.1554232000199</v>
      </c>
      <c r="E33" s="25">
        <f t="shared" si="9"/>
        <v>2480.547840663945</v>
      </c>
      <c r="F33" s="25">
        <f t="shared" si="9"/>
        <v>6952.0175857472277</v>
      </c>
      <c r="G33" s="25">
        <f t="shared" si="9"/>
        <v>6684.9266893803651</v>
      </c>
      <c r="H33" s="25">
        <f t="shared" si="9"/>
        <v>5948.5026376435999</v>
      </c>
      <c r="I33" s="25">
        <f t="shared" si="9"/>
        <v>6092.8338273063709</v>
      </c>
      <c r="J33" s="25">
        <f t="shared" si="9"/>
        <v>5765.8648748697087</v>
      </c>
      <c r="K33" s="23">
        <f t="shared" si="9"/>
        <v>5418.3917745147919</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1.2000136880365009</v>
      </c>
      <c r="C36" s="27">
        <f t="shared" ref="C36:K36" si="12">IF(OR(C25=0,AND(C25=0,C24=0,C23=0)),"",-C22/(C23+C24+C25))</f>
        <v>1.2000186895844824</v>
      </c>
      <c r="D36" s="27">
        <f t="shared" si="12"/>
        <v>1.200003129746275</v>
      </c>
      <c r="E36" s="27">
        <f t="shared" si="12"/>
        <v>1.200019541897696</v>
      </c>
      <c r="F36" s="27">
        <f t="shared" si="12"/>
        <v>1.2000046041123855</v>
      </c>
      <c r="G36" s="27">
        <f t="shared" si="12"/>
        <v>1.2000071138510193</v>
      </c>
      <c r="H36" s="27">
        <f t="shared" si="12"/>
        <v>1.1879826143702823</v>
      </c>
      <c r="I36" s="27">
        <f t="shared" si="12"/>
        <v>1.2000054425274391</v>
      </c>
      <c r="J36" s="27">
        <f t="shared" si="12"/>
        <v>1.199996730579959</v>
      </c>
      <c r="K36" s="28">
        <f t="shared" si="12"/>
        <v>1.2000149479530877</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1.2552504533846551</v>
      </c>
      <c r="C40" s="379">
        <f t="shared" ref="C40:K40" si="16">IF(OR(C20="Choose mgt fee",C20="Choose One!"),"",(C14+C15+C16+C17+C18) / -(C19+C20+C21))</f>
        <v>1.2430643498595835</v>
      </c>
      <c r="D40" s="379">
        <f t="shared" si="16"/>
        <v>1.2309951913382133</v>
      </c>
      <c r="E40" s="379">
        <f t="shared" si="16"/>
        <v>1.2190453874140623</v>
      </c>
      <c r="F40" s="379">
        <f t="shared" si="16"/>
        <v>1.2072080986385358</v>
      </c>
      <c r="G40" s="379">
        <f t="shared" si="16"/>
        <v>1.1954859353463816</v>
      </c>
      <c r="H40" s="379">
        <f t="shared" si="16"/>
        <v>1.1838810697903792</v>
      </c>
      <c r="I40" s="379">
        <f t="shared" si="16"/>
        <v>1.1723874316318903</v>
      </c>
      <c r="J40" s="379">
        <f t="shared" si="16"/>
        <v>1.1610035594798971</v>
      </c>
      <c r="K40" s="380">
        <f t="shared" si="16"/>
        <v>1.1497317889719167</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f>IF('Part III A-Sources of Funds'!$H$33="","",-FV('Part III A-Sources of Funds'!$J$33/12,12,B25/12,'Part III A-Sources of Funds'!H33))</f>
        <v>1624714.5669798669</v>
      </c>
      <c r="C42" s="1285">
        <f>IF('Part III A-Sources of Funds'!$H$33="","",-FV('Part III A-Sources of Funds'!$J$33/12,12,C25/12,B42))</f>
        <v>1590071.2171997349</v>
      </c>
      <c r="D42" s="1285">
        <f>IF('Part III A-Sources of Funds'!$H$33="","",-FV('Part III A-Sources of Funds'!$J$33/12,12,D25/12,C42))</f>
        <v>1556156.7686898164</v>
      </c>
      <c r="E42" s="1285">
        <f>IF('Part III A-Sources of Funds'!$H$33="","",-FV('Part III A-Sources of Funds'!$J$33/12,12,E25/12,D42))</f>
        <v>1523063.9346313037</v>
      </c>
      <c r="F42" s="1285">
        <f>IF('Part III A-Sources of Funds'!$H$33="","",-FV('Part III A-Sources of Funds'!$J$33/12,12,F25/12,E42))</f>
        <v>1490888.3687905583</v>
      </c>
      <c r="G42" s="1285">
        <f>IF('Part III A-Sources of Funds'!$H$33="","",-FV('Part III A-Sources of Funds'!$J$33/12,12,G25/12,F42))</f>
        <v>1459731.7088483814</v>
      </c>
      <c r="H42" s="1285">
        <f>IF('Part III A-Sources of Funds'!$H$33="","",-FV('Part III A-Sources of Funds'!$J$33/12,12,H25/12,G42))</f>
        <v>1429246.5544859939</v>
      </c>
      <c r="I42" s="1285">
        <f>IF('Part III A-Sources of Funds'!$H$33="","",-FV('Part III A-Sources of Funds'!$J$33/12,12,I25/12,H42))</f>
        <v>1400444.2477109041</v>
      </c>
      <c r="J42" s="1285">
        <f>IF('Part III A-Sources of Funds'!$H$33="","",-FV('Part III A-Sources of Funds'!$J$33/12,12,J25/12,I42))</f>
        <v>1372993.0995013677</v>
      </c>
      <c r="K42" s="1285">
        <f>IF('Part III A-Sources of Funds'!$H$33="","",-FV('Part III A-Sources of Funds'!$J$33/12,12,K25/12,J42))</f>
        <v>1347015.179921068</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f>IF('Part III A-Sources of Funds'!$H$37="","",-FV('Part III A-Sources of Funds'!$J$37/12,12,B31/12,'Part III A-Sources of Funds'!H37))</f>
        <v>15721</v>
      </c>
      <c r="C46" s="1287">
        <f>IF('Part III A-Sources of Funds'!$H$37="","",-FV('Part III A-Sources of Funds'!$J$37/12,12,C31/12,B46))</f>
        <v>9721</v>
      </c>
      <c r="D46" s="1287">
        <f>IF('Part III A-Sources of Funds'!$H$37="","",-FV('Part III A-Sources of Funds'!$J$37/12,12,D31/12,C46))</f>
        <v>4721</v>
      </c>
      <c r="E46" s="1287">
        <f>IF('Part III A-Sources of Funds'!$H$37="","",-FV('Part III A-Sources of Funds'!$J$37/12,12,E31/12,D46))</f>
        <v>0</v>
      </c>
      <c r="F46" s="1287">
        <f>IF('Part III A-Sources of Funds'!$H$37="","",-FV('Part III A-Sources of Funds'!$J$37/12,12,F31/12,E46))</f>
        <v>0</v>
      </c>
      <c r="G46" s="1287">
        <f>IF('Part III A-Sources of Funds'!$H$37="","",-FV('Part III A-Sources of Funds'!$J$37/12,12,G31/12,F46))</f>
        <v>0</v>
      </c>
      <c r="H46" s="1287">
        <f>IF('Part III A-Sources of Funds'!$H$37="","",-FV('Part III A-Sources of Funds'!$J$37/12,12,H31/12,G46))</f>
        <v>0</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392248.02446591295</v>
      </c>
      <c r="C49" s="22">
        <f t="shared" si="18"/>
        <v>400092.98495523114</v>
      </c>
      <c r="D49" s="22">
        <f t="shared" si="18"/>
        <v>408094.84465433581</v>
      </c>
      <c r="E49" s="22">
        <f t="shared" si="18"/>
        <v>416256.74154742248</v>
      </c>
      <c r="F49" s="22">
        <f t="shared" si="18"/>
        <v>424581.87637837097</v>
      </c>
      <c r="G49" s="22">
        <f t="shared" si="18"/>
        <v>433073.51390593831</v>
      </c>
      <c r="H49" s="22">
        <f t="shared" si="18"/>
        <v>441734.98418405716</v>
      </c>
      <c r="I49" s="22">
        <f t="shared" si="18"/>
        <v>450569.68386773835</v>
      </c>
      <c r="J49" s="22">
        <f t="shared" si="18"/>
        <v>459581.07754509302</v>
      </c>
      <c r="K49" s="23">
        <f t="shared" si="18"/>
        <v>468772.69909599487</v>
      </c>
    </row>
    <row r="50" spans="1:11" ht="13.15" customHeight="1">
      <c r="A50" s="24" t="s">
        <v>1633</v>
      </c>
      <c r="B50" s="25">
        <f t="shared" ref="B50:K50" si="19">$B$15*(1+$B$5)^(B48-1)</f>
        <v>7844.9604893182595</v>
      </c>
      <c r="C50" s="25">
        <f t="shared" si="19"/>
        <v>8001.8596991046234</v>
      </c>
      <c r="D50" s="25">
        <f t="shared" si="19"/>
        <v>8161.8968930867168</v>
      </c>
      <c r="E50" s="25">
        <f t="shared" si="19"/>
        <v>8325.1348309484511</v>
      </c>
      <c r="F50" s="25">
        <f t="shared" si="19"/>
        <v>8491.63752756742</v>
      </c>
      <c r="G50" s="25">
        <f t="shared" si="19"/>
        <v>8661.4702781187661</v>
      </c>
      <c r="H50" s="25">
        <f t="shared" si="19"/>
        <v>8834.6996836811431</v>
      </c>
      <c r="I50" s="25">
        <f t="shared" si="19"/>
        <v>9011.3936773547666</v>
      </c>
      <c r="J50" s="25">
        <f t="shared" si="19"/>
        <v>9191.6215509018621</v>
      </c>
      <c r="K50" s="26">
        <f t="shared" si="19"/>
        <v>9375.4539819198981</v>
      </c>
    </row>
    <row r="51" spans="1:11" ht="13.15" customHeight="1">
      <c r="A51" s="24" t="s">
        <v>3644</v>
      </c>
      <c r="B51" s="25">
        <f t="shared" ref="B51:K51" si="20">-(B49+B50)*$B$8</f>
        <v>-28006.508946866186</v>
      </c>
      <c r="C51" s="25">
        <f t="shared" si="20"/>
        <v>-28566.639125803507</v>
      </c>
      <c r="D51" s="25">
        <f t="shared" si="20"/>
        <v>-29137.971908319581</v>
      </c>
      <c r="E51" s="25">
        <f t="shared" si="20"/>
        <v>-29720.731346485965</v>
      </c>
      <c r="F51" s="25">
        <f t="shared" si="20"/>
        <v>-30315.145973415689</v>
      </c>
      <c r="G51" s="25">
        <f t="shared" si="20"/>
        <v>-30921.448892884</v>
      </c>
      <c r="H51" s="25">
        <f t="shared" si="20"/>
        <v>-31539.877870741682</v>
      </c>
      <c r="I51" s="25">
        <f t="shared" si="20"/>
        <v>-32170.675428156523</v>
      </c>
      <c r="J51" s="25">
        <f t="shared" si="20"/>
        <v>-32814.088936719643</v>
      </c>
      <c r="K51" s="26">
        <f t="shared" si="20"/>
        <v>-33470.370715454039</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-268378.75703864178</v>
      </c>
      <c r="C54" s="25">
        <f t="shared" si="21"/>
        <v>-276430.11974980106</v>
      </c>
      <c r="D54" s="25">
        <f t="shared" si="21"/>
        <v>-284723.02334229503</v>
      </c>
      <c r="E54" s="25">
        <f t="shared" si="21"/>
        <v>-293264.71404256386</v>
      </c>
      <c r="F54" s="25">
        <f t="shared" si="21"/>
        <v>-302062.65546384081</v>
      </c>
      <c r="G54" s="25">
        <f t="shared" si="21"/>
        <v>-311124.53512775607</v>
      </c>
      <c r="H54" s="25">
        <f t="shared" si="21"/>
        <v>-320458.2711815887</v>
      </c>
      <c r="I54" s="25">
        <f t="shared" si="21"/>
        <v>-330072.01931703632</v>
      </c>
      <c r="J54" s="25">
        <f t="shared" si="21"/>
        <v>-339974.17989654746</v>
      </c>
      <c r="K54" s="26">
        <f t="shared" si="21"/>
        <v>-350173.40529344382</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-36920</v>
      </c>
      <c r="C55" s="25">
        <f>IF(AND('Part VII-Pro Forma'!$G$8="Yes",'Part VII-Pro Forma'!$G$9="Yes"),"Choose One!",IF('Part VII-Pro Forma'!$G$8="Yes",ROUND((-$K$8*(1+'Part VII-Pro Forma'!$B$6)^('Part VII-Pro Forma'!C48-1)),),IF('Part VII-Pro Forma'!$G$9="Yes",ROUND((-(SUM(C49:C52)*'Part VII-Pro Forma'!$K$9)),),"Choose mgt fee")))</f>
        <v>-38028</v>
      </c>
      <c r="D55" s="25">
        <f>IF(AND('Part VII-Pro Forma'!$G$8="Yes",'Part VII-Pro Forma'!$G$9="Yes"),"Choose One!",IF('Part VII-Pro Forma'!$G$8="Yes",ROUND((-$K$8*(1+'Part VII-Pro Forma'!$B$6)^('Part VII-Pro Forma'!D48-1)),),IF('Part VII-Pro Forma'!$G$9="Yes",ROUND((-(SUM(D49:D52)*'Part VII-Pro Forma'!$K$9)),),"Choose mgt fee")))</f>
        <v>-39169</v>
      </c>
      <c r="E55" s="25">
        <f>IF(AND('Part VII-Pro Forma'!$G$8="Yes",'Part VII-Pro Forma'!$G$9="Yes"),"Choose One!",IF('Part VII-Pro Forma'!$G$8="Yes",ROUND((-$K$8*(1+'Part VII-Pro Forma'!$B$6)^('Part VII-Pro Forma'!E48-1)),),IF('Part VII-Pro Forma'!$G$9="Yes",ROUND((-(SUM(E49:E52)*'Part VII-Pro Forma'!$K$9)),),"Choose mgt fee")))</f>
        <v>-40344</v>
      </c>
      <c r="F55" s="25">
        <f>IF(AND('Part VII-Pro Forma'!$G$8="Yes",'Part VII-Pro Forma'!$G$9="Yes"),"Choose One!",IF('Part VII-Pro Forma'!$G$8="Yes",ROUND((-$K$8*(1+'Part VII-Pro Forma'!$B$6)^('Part VII-Pro Forma'!F48-1)),),IF('Part VII-Pro Forma'!$G$9="Yes",ROUND((-(SUM(F49:F52)*'Part VII-Pro Forma'!$K$9)),),"Choose mgt fee")))</f>
        <v>-41554</v>
      </c>
      <c r="G55" s="25">
        <f>IF(AND('Part VII-Pro Forma'!$G$8="Yes",'Part VII-Pro Forma'!$G$9="Yes"),"Choose One!",IF('Part VII-Pro Forma'!$G$8="Yes",ROUND((-$K$8*(1+'Part VII-Pro Forma'!$B$6)^('Part VII-Pro Forma'!G48-1)),),IF('Part VII-Pro Forma'!$G$9="Yes",ROUND((-(SUM(G49:G52)*'Part VII-Pro Forma'!$K$9)),),"Choose mgt fee")))</f>
        <v>-42800</v>
      </c>
      <c r="H55" s="25">
        <f>IF(AND('Part VII-Pro Forma'!$G$8="Yes",'Part VII-Pro Forma'!$G$9="Yes"),"Choose One!",IF('Part VII-Pro Forma'!$G$8="Yes",ROUND((-$K$8*(1+'Part VII-Pro Forma'!$B$6)^('Part VII-Pro Forma'!H48-1)),),IF('Part VII-Pro Forma'!$G$9="Yes",ROUND((-(SUM(H49:H52)*'Part VII-Pro Forma'!$K$9)),),"Choose mgt fee")))</f>
        <v>-44084</v>
      </c>
      <c r="I55" s="25">
        <f>IF(AND('Part VII-Pro Forma'!$G$8="Yes",'Part VII-Pro Forma'!$G$9="Yes"),"Choose One!",IF('Part VII-Pro Forma'!$G$8="Yes",ROUND((-$K$8*(1+'Part VII-Pro Forma'!$B$6)^('Part VII-Pro Forma'!I48-1)),),IF('Part VII-Pro Forma'!$G$9="Yes",ROUND((-(SUM(I49:I52)*'Part VII-Pro Forma'!$K$9)),),"Choose mgt fee")))</f>
        <v>-45407</v>
      </c>
      <c r="J55" s="25">
        <f>IF(AND('Part VII-Pro Forma'!$G$8="Yes",'Part VII-Pro Forma'!$G$9="Yes"),"Choose One!",IF('Part VII-Pro Forma'!$G$8="Yes",ROUND((-$K$8*(1+'Part VII-Pro Forma'!$B$6)^('Part VII-Pro Forma'!J48-1)),),IF('Part VII-Pro Forma'!$G$9="Yes",ROUND((-(SUM(J49:J52)*'Part VII-Pro Forma'!$K$9)),),"Choose mgt fee")))</f>
        <v>-46769</v>
      </c>
      <c r="K55" s="25">
        <f>IF(AND('Part VII-Pro Forma'!$G$8="Yes",'Part VII-Pro Forma'!$G$9="Yes"),"Choose One!",IF('Part VII-Pro Forma'!$G$8="Yes",ROUND((-$K$8*(1+'Part VII-Pro Forma'!$B$6)^('Part VII-Pro Forma'!K48-1)),),IF('Part VII-Pro Forma'!$G$9="Yes",ROUND((-(SUM(K49:K52)*'Part VII-Pro Forma'!$K$9)),),"Choose mgt fee")))</f>
        <v>-48172</v>
      </c>
    </row>
    <row r="56" spans="1:11" ht="13.15" customHeight="1">
      <c r="A56" s="24" t="s">
        <v>1863</v>
      </c>
      <c r="B56" s="25">
        <f t="shared" ref="B56:K56" si="22">$B$21*(1+$B$7)^(B48-1)</f>
        <v>-21502.66206950595</v>
      </c>
      <c r="C56" s="25">
        <f t="shared" si="22"/>
        <v>-22147.741931591128</v>
      </c>
      <c r="D56" s="25">
        <f t="shared" si="22"/>
        <v>-22812.174189538859</v>
      </c>
      <c r="E56" s="25">
        <f t="shared" si="22"/>
        <v>-23496.539415225023</v>
      </c>
      <c r="F56" s="25">
        <f t="shared" si="22"/>
        <v>-24201.435597681775</v>
      </c>
      <c r="G56" s="25">
        <f t="shared" si="22"/>
        <v>-24927.478665612231</v>
      </c>
      <c r="H56" s="25">
        <f t="shared" si="22"/>
        <v>-25675.303025580593</v>
      </c>
      <c r="I56" s="25">
        <f t="shared" si="22"/>
        <v>-26445.56211634801</v>
      </c>
      <c r="J56" s="25">
        <f t="shared" si="22"/>
        <v>-27238.928979838453</v>
      </c>
      <c r="K56" s="26">
        <f t="shared" si="22"/>
        <v>-28056.096849233603</v>
      </c>
    </row>
    <row r="57" spans="1:11" ht="13.15" customHeight="1">
      <c r="A57" s="24" t="s">
        <v>1864</v>
      </c>
      <c r="B57" s="25">
        <f t="shared" ref="B57:K57" si="23">SUM(B49:B56)</f>
        <v>45285.056900217256</v>
      </c>
      <c r="C57" s="25">
        <f t="shared" si="23"/>
        <v>42922.343847140088</v>
      </c>
      <c r="D57" s="25">
        <f t="shared" si="23"/>
        <v>40414.572107269094</v>
      </c>
      <c r="E57" s="25">
        <f t="shared" si="23"/>
        <v>37755.891574096066</v>
      </c>
      <c r="F57" s="25">
        <f t="shared" si="23"/>
        <v>34940.276871000082</v>
      </c>
      <c r="G57" s="25">
        <f t="shared" si="23"/>
        <v>31961.521497804788</v>
      </c>
      <c r="H57" s="25">
        <f t="shared" si="23"/>
        <v>28812.231789827289</v>
      </c>
      <c r="I57" s="25">
        <f t="shared" si="23"/>
        <v>25485.820683552301</v>
      </c>
      <c r="J57" s="25">
        <f t="shared" si="23"/>
        <v>21976.501282889327</v>
      </c>
      <c r="K57" s="26">
        <f t="shared" si="23"/>
        <v>18276.280219783315</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v>-37737</v>
      </c>
      <c r="C60" s="1285">
        <v>-35768</v>
      </c>
      <c r="D60" s="1285">
        <v>-33679</v>
      </c>
      <c r="E60" s="1285">
        <v>-31463</v>
      </c>
      <c r="F60" s="1285">
        <v>-29116</v>
      </c>
      <c r="G60" s="1285">
        <v>-26634</v>
      </c>
      <c r="H60" s="1285">
        <v>-24009</v>
      </c>
      <c r="I60" s="1285">
        <v>-21238</v>
      </c>
      <c r="J60" s="1285">
        <v>-18313</v>
      </c>
      <c r="K60" s="1285">
        <v>-15229</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f>
        <v>-2500</v>
      </c>
      <c r="C65" s="1285">
        <f t="shared" ref="C65:F65" si="25">+B65</f>
        <v>-2500</v>
      </c>
      <c r="D65" s="1285">
        <f t="shared" si="25"/>
        <v>-2500</v>
      </c>
      <c r="E65" s="1285">
        <f t="shared" si="25"/>
        <v>-2500</v>
      </c>
      <c r="F65" s="1285">
        <f t="shared" si="25"/>
        <v>-2500</v>
      </c>
      <c r="G65" s="1285"/>
      <c r="H65" s="1285"/>
      <c r="I65" s="1285"/>
      <c r="J65" s="1285"/>
      <c r="K65" s="1285"/>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5048.056900217256</v>
      </c>
      <c r="C68" s="25">
        <f t="shared" si="27"/>
        <v>4654.3438471400877</v>
      </c>
      <c r="D68" s="25">
        <f t="shared" si="27"/>
        <v>4235.572107269094</v>
      </c>
      <c r="E68" s="25">
        <f t="shared" si="27"/>
        <v>3792.8915740960656</v>
      </c>
      <c r="F68" s="25">
        <f t="shared" si="27"/>
        <v>3324.2768710000819</v>
      </c>
      <c r="G68" s="25">
        <f t="shared" si="27"/>
        <v>5327.5214978047879</v>
      </c>
      <c r="H68" s="25">
        <f t="shared" si="27"/>
        <v>4803.2317898272886</v>
      </c>
      <c r="I68" s="25">
        <f t="shared" si="27"/>
        <v>4247.8206835523015</v>
      </c>
      <c r="J68" s="25">
        <f t="shared" si="27"/>
        <v>3663.5012828893268</v>
      </c>
      <c r="K68" s="23">
        <f t="shared" si="27"/>
        <v>3047.2802197833153</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1.200017407324834</v>
      </c>
      <c r="C71" s="27">
        <f t="shared" ref="C71:K71" si="31">IF(OR(C60=0,AND(C60=0,C59=0,C58=0)),"",-C57/(C58+C59+C60))</f>
        <v>1.2000207964420735</v>
      </c>
      <c r="D71" s="27">
        <f t="shared" si="31"/>
        <v>1.1999932333878409</v>
      </c>
      <c r="E71" s="27">
        <f t="shared" si="31"/>
        <v>1.2000092672057994</v>
      </c>
      <c r="F71" s="27">
        <f t="shared" si="31"/>
        <v>1.200036985540599</v>
      </c>
      <c r="G71" s="27">
        <f t="shared" si="31"/>
        <v>1.2000270893521359</v>
      </c>
      <c r="H71" s="27">
        <f t="shared" si="31"/>
        <v>1.2000596355461406</v>
      </c>
      <c r="I71" s="27">
        <f t="shared" si="31"/>
        <v>1.200010390976189</v>
      </c>
      <c r="J71" s="27">
        <f t="shared" si="31"/>
        <v>1.2000492154693019</v>
      </c>
      <c r="K71" s="28">
        <f t="shared" si="31"/>
        <v>1.2000971974380008</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1.1385705638115089</v>
      </c>
      <c r="C75" s="379">
        <f t="shared" ref="C75:K75" si="35">IF(OR(C55="Choose mgt fee",C55="Choose One!"),"",(C49+C50+C51+C52+C53) / -(C54+C55+C56))</f>
        <v>1.1275151408021749</v>
      </c>
      <c r="D75" s="379">
        <f t="shared" si="35"/>
        <v>1.116567876578876</v>
      </c>
      <c r="E75" s="379">
        <f t="shared" si="35"/>
        <v>1.1057276285031157</v>
      </c>
      <c r="F75" s="379">
        <f t="shared" si="35"/>
        <v>1.0949933614471286</v>
      </c>
      <c r="G75" s="379">
        <f t="shared" si="35"/>
        <v>1.0843641325217743</v>
      </c>
      <c r="H75" s="379">
        <f t="shared" si="35"/>
        <v>1.0738363254099126</v>
      </c>
      <c r="I75" s="379">
        <f t="shared" si="35"/>
        <v>1.0634094600351691</v>
      </c>
      <c r="J75" s="379">
        <f t="shared" si="35"/>
        <v>1.0530856305421921</v>
      </c>
      <c r="K75" s="380">
        <f t="shared" si="35"/>
        <v>1.0428616694076933</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f>IF('Part III A-Sources of Funds'!$H$33="","",-FV('Part III A-Sources of Funds'!$J$33/12,12,B60/12,K42))</f>
        <v>1322636.7991330402</v>
      </c>
      <c r="C77" s="1285">
        <f>IF('Part III A-Sources of Funds'!$H$33="","",-FV('Part III A-Sources of Funds'!$J$33/12,12,C60/12,B77))</f>
        <v>1299991.5637838091</v>
      </c>
      <c r="D77" s="1285">
        <f>IF('Part III A-Sources of Funds'!$H$33="","",-FV('Part III A-Sources of Funds'!$J$33/12,12,D60/12,C77))</f>
        <v>1279217.4365153105</v>
      </c>
      <c r="E77" s="1285">
        <f>IF('Part III A-Sources of Funds'!$H$33="","",-FV('Part III A-Sources of Funds'!$J$33/12,12,E60/12,D77))</f>
        <v>1260460.7981094066</v>
      </c>
      <c r="F77" s="1285">
        <f>IF('Part III A-Sources of Funds'!$H$33="","",-FV('Part III A-Sources of Funds'!$J$33/12,12,F60/12,E77))</f>
        <v>1243873.518267923</v>
      </c>
      <c r="G77" s="1285">
        <f>IF('Part III A-Sources of Funds'!$H$33="","",-FV('Part III A-Sources of Funds'!$J$33/12,12,G60/12,F77))</f>
        <v>1229613.0107541254</v>
      </c>
      <c r="H77" s="1285">
        <f>IF('Part III A-Sources of Funds'!$H$33="","",-FV('Part III A-Sources of Funds'!$J$33/12,12,H60/12,G77))</f>
        <v>1217846.3074724979</v>
      </c>
      <c r="I77" s="1285">
        <f>IF('Part III A-Sources of Funds'!$H$33="","",-FV('Part III A-Sources of Funds'!$J$33/12,12,I60/12,H77))</f>
        <v>1208745.1321117696</v>
      </c>
      <c r="J77" s="1285">
        <f>IF('Part III A-Sources of Funds'!$H$33="","",-FV('Part III A-Sources of Funds'!$J$33/12,12,J60/12,I77))</f>
        <v>1202490.9702588406</v>
      </c>
      <c r="K77" s="1285">
        <f>IF('Part III A-Sources of Funds'!$H$33="","",-FV('Part III A-Sources of Funds'!$J$33/12,12,K60/12,J77))</f>
        <v>1199272.1536781613</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478148.15307791485</v>
      </c>
      <c r="C84" s="22">
        <f t="shared" si="37"/>
        <v>487711.1161394731</v>
      </c>
      <c r="D84" s="22">
        <f t="shared" si="37"/>
        <v>497465.33846226259</v>
      </c>
      <c r="E84" s="22">
        <f t="shared" si="37"/>
        <v>507414.64523150772</v>
      </c>
      <c r="F84" s="22">
        <f t="shared" si="37"/>
        <v>517562.93813613791</v>
      </c>
      <c r="G84" s="22">
        <f t="shared" si="37"/>
        <v>527914.19689886062</v>
      </c>
      <c r="H84" s="22">
        <f t="shared" si="37"/>
        <v>538472.4808368379</v>
      </c>
      <c r="I84" s="22">
        <f t="shared" si="37"/>
        <v>549241.93045357463</v>
      </c>
      <c r="J84" s="22">
        <f t="shared" si="37"/>
        <v>560226.7690626462</v>
      </c>
      <c r="K84" s="23">
        <f t="shared" si="37"/>
        <v>571431.30444389908</v>
      </c>
    </row>
    <row r="85" spans="1:11" ht="13.15" customHeight="1">
      <c r="A85" s="24" t="s">
        <v>1633</v>
      </c>
      <c r="B85" s="25">
        <f t="shared" ref="B85:K85" si="38">$B$15*(1+$B$5)^(B83-1)</f>
        <v>9562.9630615582973</v>
      </c>
      <c r="C85" s="25">
        <f t="shared" si="38"/>
        <v>9754.2223227894629</v>
      </c>
      <c r="D85" s="25">
        <f t="shared" si="38"/>
        <v>9949.3067692452514</v>
      </c>
      <c r="E85" s="25">
        <f t="shared" si="38"/>
        <v>10148.292904630156</v>
      </c>
      <c r="F85" s="25">
        <f t="shared" si="38"/>
        <v>10351.258762722759</v>
      </c>
      <c r="G85" s="25">
        <f t="shared" si="38"/>
        <v>10558.283937977214</v>
      </c>
      <c r="H85" s="25">
        <f t="shared" si="38"/>
        <v>10769.44961673676</v>
      </c>
      <c r="I85" s="25">
        <f t="shared" si="38"/>
        <v>10984.838609071492</v>
      </c>
      <c r="J85" s="25">
        <f t="shared" si="38"/>
        <v>11204.535381252925</v>
      </c>
      <c r="K85" s="26">
        <f t="shared" si="38"/>
        <v>11428.626088877982</v>
      </c>
    </row>
    <row r="86" spans="1:11" ht="13.15" customHeight="1">
      <c r="A86" s="24" t="s">
        <v>3644</v>
      </c>
      <c r="B86" s="25">
        <f t="shared" ref="B86:K86" si="39">-(B84+B85)*$B$8</f>
        <v>-34139.778129763123</v>
      </c>
      <c r="C86" s="25">
        <f t="shared" si="39"/>
        <v>-34822.573692358383</v>
      </c>
      <c r="D86" s="25">
        <f t="shared" si="39"/>
        <v>-35519.025166205553</v>
      </c>
      <c r="E86" s="25">
        <f t="shared" si="39"/>
        <v>-36229.405669529653</v>
      </c>
      <c r="F86" s="25">
        <f t="shared" si="39"/>
        <v>-36953.993782920246</v>
      </c>
      <c r="G86" s="25">
        <f t="shared" si="39"/>
        <v>-37693.073658578651</v>
      </c>
      <c r="H86" s="25">
        <f t="shared" si="39"/>
        <v>-38446.93513175023</v>
      </c>
      <c r="I86" s="25">
        <f t="shared" si="39"/>
        <v>-39215.873834385231</v>
      </c>
      <c r="J86" s="25">
        <f t="shared" si="39"/>
        <v>-40000.191311072937</v>
      </c>
      <c r="K86" s="26">
        <f t="shared" si="39"/>
        <v>-40800.195137294402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-360678.60745224718</v>
      </c>
      <c r="C89" s="25">
        <f t="shared" si="40"/>
        <v>-371498.96567581454</v>
      </c>
      <c r="D89" s="25">
        <f t="shared" si="40"/>
        <v>-382643.93464608898</v>
      </c>
      <c r="E89" s="25">
        <f t="shared" si="40"/>
        <v>-394123.25268547167</v>
      </c>
      <c r="F89" s="25">
        <f t="shared" si="40"/>
        <v>-405946.9502660358</v>
      </c>
      <c r="G89" s="25">
        <f t="shared" si="40"/>
        <v>-418125.35877401684</v>
      </c>
      <c r="H89" s="25">
        <f t="shared" si="40"/>
        <v>-430669.11953723739</v>
      </c>
      <c r="I89" s="25">
        <f t="shared" si="40"/>
        <v>-443589.19312335446</v>
      </c>
      <c r="J89" s="25">
        <f t="shared" si="40"/>
        <v>-456896.86891705514</v>
      </c>
      <c r="K89" s="26">
        <f t="shared" si="40"/>
        <v>-470603.77498456673</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-49617</v>
      </c>
      <c r="C90" s="25">
        <f>IF(AND('Part VII-Pro Forma'!$G$8="Yes",'Part VII-Pro Forma'!$G$9="Yes"),"Choose One!",IF('Part VII-Pro Forma'!$G$8="Yes",ROUND((-$K$8*(1+'Part VII-Pro Forma'!$B$6)^('Part VII-Pro Forma'!C83-1)),),IF('Part VII-Pro Forma'!$G$9="Yes",ROUND((-(SUM(C84:C87)*'Part VII-Pro Forma'!$K$9)),),"Choose mgt fee")))</f>
        <v>-51106</v>
      </c>
      <c r="D90" s="25">
        <f>IF(AND('Part VII-Pro Forma'!$G$8="Yes",'Part VII-Pro Forma'!$G$9="Yes"),"Choose One!",IF('Part VII-Pro Forma'!$G$8="Yes",ROUND((-$K$8*(1+'Part VII-Pro Forma'!$B$6)^('Part VII-Pro Forma'!D83-1)),),IF('Part VII-Pro Forma'!$G$9="Yes",ROUND((-(SUM(D84:D87)*'Part VII-Pro Forma'!$K$9)),),"Choose mgt fee")))</f>
        <v>-52639</v>
      </c>
      <c r="E90" s="25">
        <f>IF(AND('Part VII-Pro Forma'!$G$8="Yes",'Part VII-Pro Forma'!$G$9="Yes"),"Choose One!",IF('Part VII-Pro Forma'!$G$8="Yes",ROUND((-$K$8*(1+'Part VII-Pro Forma'!$B$6)^('Part VII-Pro Forma'!E83-1)),),IF('Part VII-Pro Forma'!$G$9="Yes",ROUND((-(SUM(E84:E87)*'Part VII-Pro Forma'!$K$9)),),"Choose mgt fee")))</f>
        <v>-54218</v>
      </c>
      <c r="F90" s="25">
        <f>IF(AND('Part VII-Pro Forma'!$G$8="Yes",'Part VII-Pro Forma'!$G$9="Yes"),"Choose One!",IF('Part VII-Pro Forma'!$G$8="Yes",ROUND((-$K$8*(1+'Part VII-Pro Forma'!$B$6)^('Part VII-Pro Forma'!F83-1)),),IF('Part VII-Pro Forma'!$G$9="Yes",ROUND((-(SUM(F84:F87)*'Part VII-Pro Forma'!$K$9)),),"Choose mgt fee")))</f>
        <v>-55845</v>
      </c>
      <c r="G90" s="25">
        <f>IF(AND('Part VII-Pro Forma'!$G$8="Yes",'Part VII-Pro Forma'!$G$9="Yes"),"Choose One!",IF('Part VII-Pro Forma'!$G$8="Yes",ROUND((-$K$8*(1+'Part VII-Pro Forma'!$B$6)^('Part VII-Pro Forma'!G83-1)),),IF('Part VII-Pro Forma'!$G$9="Yes",ROUND((-(SUM(G84:G87)*'Part VII-Pro Forma'!$K$9)),),"Choose mgt fee")))</f>
        <v>-57520</v>
      </c>
      <c r="H90" s="25">
        <f>IF(AND('Part VII-Pro Forma'!$G$8="Yes",'Part VII-Pro Forma'!$G$9="Yes"),"Choose One!",IF('Part VII-Pro Forma'!$G$8="Yes",ROUND((-$K$8*(1+'Part VII-Pro Forma'!$B$6)^('Part VII-Pro Forma'!H83-1)),),IF('Part VII-Pro Forma'!$G$9="Yes",ROUND((-(SUM(H84:H87)*'Part VII-Pro Forma'!$K$9)),),"Choose mgt fee")))</f>
        <v>-59246</v>
      </c>
      <c r="I90" s="25">
        <f>IF(AND('Part VII-Pro Forma'!$G$8="Yes",'Part VII-Pro Forma'!$G$9="Yes"),"Choose One!",IF('Part VII-Pro Forma'!$G$8="Yes",ROUND((-$K$8*(1+'Part VII-Pro Forma'!$B$6)^('Part VII-Pro Forma'!I83-1)),),IF('Part VII-Pro Forma'!$G$9="Yes",ROUND((-(SUM(I84:I87)*'Part VII-Pro Forma'!$K$9)),),"Choose mgt fee")))</f>
        <v>-61023</v>
      </c>
      <c r="J90" s="25">
        <f>IF(AND('Part VII-Pro Forma'!$G$8="Yes",'Part VII-Pro Forma'!$G$9="Yes"),"Choose One!",IF('Part VII-Pro Forma'!$G$8="Yes",ROUND((-$K$8*(1+'Part VII-Pro Forma'!$B$6)^('Part VII-Pro Forma'!J83-1)),),IF('Part VII-Pro Forma'!$G$9="Yes",ROUND((-(SUM(J84:J87)*'Part VII-Pro Forma'!$K$9)),),"Choose mgt fee")))</f>
        <v>-62854</v>
      </c>
      <c r="K90" s="25">
        <f>IF(AND('Part VII-Pro Forma'!$G$8="Yes",'Part VII-Pro Forma'!$G$9="Yes"),"Choose One!",IF('Part VII-Pro Forma'!$G$8="Yes",ROUND((-$K$8*(1+'Part VII-Pro Forma'!$B$6)^('Part VII-Pro Forma'!K83-1)),),IF('Part VII-Pro Forma'!$G$9="Yes",ROUND((-(SUM(K84:K87)*'Part VII-Pro Forma'!$K$9)),),"Choose mgt fee")))</f>
        <v>-64740</v>
      </c>
    </row>
    <row r="91" spans="1:11" ht="13.15" customHeight="1">
      <c r="A91" s="24" t="s">
        <v>1863</v>
      </c>
      <c r="B91" s="25">
        <f t="shared" ref="B91:K91" si="41">$B$21*(1+$B$7)^(B83-1)</f>
        <v>-28897.779754710613</v>
      </c>
      <c r="C91" s="25">
        <f t="shared" si="41"/>
        <v>-29764.713147351926</v>
      </c>
      <c r="D91" s="25">
        <f t="shared" si="41"/>
        <v>-30657.654541772488</v>
      </c>
      <c r="E91" s="25">
        <f t="shared" si="41"/>
        <v>-31577.384178025663</v>
      </c>
      <c r="F91" s="25">
        <f t="shared" si="41"/>
        <v>-32524.705703366428</v>
      </c>
      <c r="G91" s="25">
        <f t="shared" si="41"/>
        <v>-33500.446874467423</v>
      </c>
      <c r="H91" s="25">
        <f t="shared" si="41"/>
        <v>-34505.460280701453</v>
      </c>
      <c r="I91" s="25">
        <f t="shared" si="41"/>
        <v>-35540.624089122488</v>
      </c>
      <c r="J91" s="25">
        <f t="shared" si="41"/>
        <v>-36606.842811796167</v>
      </c>
      <c r="K91" s="26">
        <f t="shared" si="41"/>
        <v>-37705.048096150043</v>
      </c>
    </row>
    <row r="92" spans="1:11" ht="13.15" customHeight="1">
      <c r="A92" s="24" t="s">
        <v>1864</v>
      </c>
      <c r="B92" s="25">
        <f t="shared" ref="B92:K92" si="42">SUM(B84:B91)</f>
        <v>14377.950802752228</v>
      </c>
      <c r="C92" s="25">
        <f t="shared" si="42"/>
        <v>10273.08594673773</v>
      </c>
      <c r="D92" s="25">
        <f t="shared" si="42"/>
        <v>5955.0308774408295</v>
      </c>
      <c r="E92" s="25">
        <f t="shared" si="42"/>
        <v>1414.8956031108828</v>
      </c>
      <c r="F92" s="25">
        <f t="shared" si="42"/>
        <v>-3356.4528534618403</v>
      </c>
      <c r="G92" s="25">
        <f t="shared" si="42"/>
        <v>-8366.3984702251619</v>
      </c>
      <c r="H92" s="25">
        <f t="shared" si="42"/>
        <v>-13625.584496114454</v>
      </c>
      <c r="I92" s="25">
        <f t="shared" si="42"/>
        <v>-19141.921984216111</v>
      </c>
      <c r="J92" s="25">
        <f t="shared" si="42"/>
        <v>-24926.598596025135</v>
      </c>
      <c r="K92" s="26">
        <f t="shared" si="42"/>
        <v>-30989.08768523403</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14377.950802752228</v>
      </c>
      <c r="C103" s="25">
        <f t="shared" si="46"/>
        <v>10273.08594673773</v>
      </c>
      <c r="D103" s="25">
        <f t="shared" si="46"/>
        <v>5955.0308774408295</v>
      </c>
      <c r="E103" s="25">
        <f t="shared" si="46"/>
        <v>1414.8956031108828</v>
      </c>
      <c r="F103" s="25">
        <f t="shared" si="46"/>
        <v>-3356.4528534618403</v>
      </c>
      <c r="G103" s="25">
        <f t="shared" si="46"/>
        <v>-8366.3984702251619</v>
      </c>
      <c r="H103" s="25">
        <f t="shared" si="46"/>
        <v>-13625.584496114454</v>
      </c>
      <c r="I103" s="25">
        <f t="shared" si="46"/>
        <v>-19141.921984216111</v>
      </c>
      <c r="J103" s="25">
        <f t="shared" si="46"/>
        <v>-24926.598596025135</v>
      </c>
      <c r="K103" s="23">
        <f t="shared" si="46"/>
        <v>-30989.08768523403</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1.0327371750612835</v>
      </c>
      <c r="C110" s="379">
        <f t="shared" ref="C110:K110" si="54">IF(OR(C90="Choose mgt fee",C90="Choose One!"),"",(C84+C85+C86+C87+C88) / -(C89+C90+C91))</f>
        <v>1.022709492761458</v>
      </c>
      <c r="D110" s="379">
        <f t="shared" si="54"/>
        <v>1.0127806656376954</v>
      </c>
      <c r="E110" s="379">
        <f t="shared" si="54"/>
        <v>1.0029481989121281</v>
      </c>
      <c r="F110" s="379">
        <f t="shared" si="54"/>
        <v>0.99320991349789833</v>
      </c>
      <c r="G110" s="379">
        <f t="shared" si="54"/>
        <v>0.98356777493321557</v>
      </c>
      <c r="H110" s="379">
        <f t="shared" si="54"/>
        <v>0.97401783030550626</v>
      </c>
      <c r="I110" s="379">
        <f t="shared" si="54"/>
        <v>0.96456202508949174</v>
      </c>
      <c r="J110" s="379">
        <f t="shared" si="54"/>
        <v>0.95519681300261461</v>
      </c>
      <c r="K110" s="380">
        <f t="shared" si="54"/>
        <v>0.94592243027629597</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f>IF('Part III A-Sources of Funds'!$H$33="","",-FV('Part III A-Sources of Funds'!$J$33/12,12,B95/12,K77))</f>
        <v>1211319.994827097</v>
      </c>
      <c r="C112" s="1285">
        <f>IF('Part III A-Sources of Funds'!$H$33="","",-FV('Part III A-Sources of Funds'!$J$33/12,12,C95/12,B112))</f>
        <v>1223488.8681169897</v>
      </c>
      <c r="D112" s="1285">
        <f>IF('Part III A-Sources of Funds'!$H$33="","",-FV('Part III A-Sources of Funds'!$J$33/12,12,D95/12,C112))</f>
        <v>1235779.9894319938</v>
      </c>
      <c r="E112" s="1285">
        <f>IF('Part III A-Sources of Funds'!$H$33="","",-FV('Part III A-Sources of Funds'!$J$33/12,12,E95/12,D112))</f>
        <v>1248194.5868709881</v>
      </c>
      <c r="F112" s="1285">
        <f>IF('Part III A-Sources of Funds'!$H$33="","",-FV('Part III A-Sources of Funds'!$J$33/12,12,F95/12,E112))</f>
        <v>1260733.9008702845</v>
      </c>
      <c r="G112" s="1285">
        <f>IF('Part III A-Sources of Funds'!$H$33="","",-FV('Part III A-Sources of Funds'!$J$33/12,12,G95/12,F112))</f>
        <v>1273399.18432757</v>
      </c>
      <c r="H112" s="1285">
        <f>IF('Part III A-Sources of Funds'!$H$33="","",-FV('Part III A-Sources of Funds'!$J$33/12,12,H95/12,G112))</f>
        <v>1286191.7027270924</v>
      </c>
      <c r="I112" s="1285">
        <f>IF('Part III A-Sources of Funds'!$H$33="","",-FV('Part III A-Sources of Funds'!$J$33/12,12,I95/12,H112))</f>
        <v>1299112.7342661049</v>
      </c>
      <c r="J112" s="1285">
        <f>IF('Part III A-Sources of Funds'!$H$33="","",-FV('Part III A-Sources of Funds'!$J$33/12,12,J95/12,I112))</f>
        <v>1312163.5699825804</v>
      </c>
      <c r="K112" s="1285">
        <f>IF('Part III A-Sources of Funds'!$H$33="","",-FV('Part III A-Sources of Funds'!$J$33/12,12,K95/12,J112))</f>
        <v>1325345.5138842086</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582859.9305327771</v>
      </c>
      <c r="C119" s="22">
        <f>$B$14*(1+$B$5)^(C118-1)</f>
        <v>594517.12914343248</v>
      </c>
      <c r="D119" s="22">
        <f>$B$14*(1+$B$5)^(D118-1)</f>
        <v>606407.47172630124</v>
      </c>
      <c r="E119" s="22">
        <f>$B$14*(1+$B$5)^(E118-1)</f>
        <v>618535.62116082734</v>
      </c>
      <c r="F119" s="23">
        <f>$B$14*(1+$B$5)^(F118-1)</f>
        <v>630906.33358404378</v>
      </c>
      <c r="G119" s="31"/>
      <c r="H119" s="31"/>
      <c r="I119" s="31"/>
      <c r="J119" s="31"/>
      <c r="K119" s="31"/>
    </row>
    <row r="120" spans="1:11" ht="13.15" customHeight="1">
      <c r="A120" s="24" t="s">
        <v>1633</v>
      </c>
      <c r="B120" s="25">
        <f>$B$15*(1+$B$5)^(B118-1)</f>
        <v>11657.198610655541</v>
      </c>
      <c r="C120" s="25">
        <f>$B$15*(1+$B$5)^(C118-1)</f>
        <v>11890.34258286865</v>
      </c>
      <c r="D120" s="25">
        <f>$B$15*(1+$B$5)^(D118-1)</f>
        <v>12128.149434526025</v>
      </c>
      <c r="E120" s="25">
        <f>$B$15*(1+$B$5)^(E118-1)</f>
        <v>12370.712423216548</v>
      </c>
      <c r="F120" s="26">
        <f>$B$15*(1+$B$5)^(F118-1)</f>
        <v>12618.126671680877</v>
      </c>
      <c r="G120" s="31"/>
      <c r="H120" s="31"/>
      <c r="I120" s="31"/>
      <c r="J120" s="31"/>
      <c r="K120" s="31"/>
    </row>
    <row r="121" spans="1:11" ht="13.15" customHeight="1">
      <c r="A121" s="24" t="s">
        <v>3644</v>
      </c>
      <c r="B121" s="25">
        <f>-(B119+B120)*$B$8</f>
        <v>-41616.199040040286</v>
      </c>
      <c r="C121" s="25">
        <f>-(C119+C120)*$B$8</f>
        <v>-42448.523020841079</v>
      </c>
      <c r="D121" s="25">
        <f>-(D119+D120)*$B$8</f>
        <v>-43297.493481257909</v>
      </c>
      <c r="E121" s="25">
        <f>-(E119+E120)*$B$8</f>
        <v>-44163.443350883077</v>
      </c>
      <c r="F121" s="26">
        <f>-(F119+F120)*$B$8</f>
        <v>-45046.712217900727</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-484721.88823410374</v>
      </c>
      <c r="C124" s="25">
        <f>$B$19*(1+$B$6)^(C118-1)</f>
        <v>-499263.5448811269</v>
      </c>
      <c r="D124" s="25">
        <f>$B$19*(1+$B$6)^(D118-1)</f>
        <v>-514241.45122756064</v>
      </c>
      <c r="E124" s="25">
        <f>$B$19*(1+$B$6)^(E118-1)</f>
        <v>-529668.69476438744</v>
      </c>
      <c r="F124" s="26">
        <f>$B$19*(1+$B$6)^(F118-1)</f>
        <v>-545558.75560731906</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-66682</v>
      </c>
      <c r="C125" s="25">
        <f>IF(AND('Part VII-Pro Forma'!$G$8="Yes",'Part VII-Pro Forma'!$G$9="Yes"),"Choose One!",IF('Part VII-Pro Forma'!$G$8="Yes",ROUND((-$K$8*(1+'Part VII-Pro Forma'!$B$6)^('Part VII-Pro Forma'!C118-1)),),IF('Part VII-Pro Forma'!$G$9="Yes",ROUND((-(SUM(C119:C122)*'Part VII-Pro Forma'!$K$9)),),"Choose mgt fee")))</f>
        <v>-68682</v>
      </c>
      <c r="D125" s="25">
        <f>IF(AND('Part VII-Pro Forma'!$G$8="Yes",'Part VII-Pro Forma'!$G$9="Yes"),"Choose One!",IF('Part VII-Pro Forma'!$G$8="Yes",ROUND((-$K$8*(1+'Part VII-Pro Forma'!$B$6)^('Part VII-Pro Forma'!D118-1)),),IF('Part VII-Pro Forma'!$G$9="Yes",ROUND((-(SUM(D119:D122)*'Part VII-Pro Forma'!$K$9)),),"Choose mgt fee")))</f>
        <v>-70743</v>
      </c>
      <c r="E125" s="25">
        <f>IF(AND('Part VII-Pro Forma'!$G$8="Yes",'Part VII-Pro Forma'!$G$9="Yes"),"Choose One!",IF('Part VII-Pro Forma'!$G$8="Yes",ROUND((-$K$8*(1+'Part VII-Pro Forma'!$B$6)^('Part VII-Pro Forma'!E118-1)),),IF('Part VII-Pro Forma'!$G$9="Yes",ROUND((-(SUM(E119:E122)*'Part VII-Pro Forma'!$K$9)),),"Choose mgt fee")))</f>
        <v>-72865</v>
      </c>
      <c r="F125" s="25">
        <f>IF(AND('Part VII-Pro Forma'!$G$8="Yes",'Part VII-Pro Forma'!$G$9="Yes"),"Choose One!",IF('Part VII-Pro Forma'!$G$8="Yes",ROUND((-$K$8*(1+'Part VII-Pro Forma'!$B$6)^('Part VII-Pro Forma'!F118-1)),),IF('Part VII-Pro Forma'!$G$9="Yes",ROUND((-(SUM(F119:F122)*'Part VII-Pro Forma'!$K$9)),),"Choose mgt fee")))</f>
        <v>-75051</v>
      </c>
      <c r="G125" s="31"/>
      <c r="H125" s="31"/>
      <c r="I125" s="31"/>
      <c r="J125" s="31"/>
      <c r="K125" s="31"/>
    </row>
    <row r="126" spans="1:11" ht="13.15" customHeight="1">
      <c r="A126" s="24" t="s">
        <v>1863</v>
      </c>
      <c r="B126" s="25">
        <f>$B$21*(1+$B$7)^(B118-1)</f>
        <v>-38836.199539034547</v>
      </c>
      <c r="C126" s="25">
        <f>$B$21*(1+$B$7)^(C118-1)</f>
        <v>-40001.285525205589</v>
      </c>
      <c r="D126" s="25">
        <f>$B$21*(1+$B$7)^(D118-1)</f>
        <v>-41201.324090961745</v>
      </c>
      <c r="E126" s="25">
        <f>$B$21*(1+$B$7)^(E118-1)</f>
        <v>-42437.363813690601</v>
      </c>
      <c r="F126" s="26">
        <f>$B$21*(1+$B$7)^(F118-1)</f>
        <v>-43710.484728101314</v>
      </c>
      <c r="G126" s="31"/>
      <c r="H126" s="31"/>
      <c r="I126" s="31"/>
      <c r="J126" s="31"/>
      <c r="K126" s="31"/>
    </row>
    <row r="127" spans="1:11" ht="13.15" customHeight="1">
      <c r="A127" s="24" t="s">
        <v>1864</v>
      </c>
      <c r="B127" s="25">
        <f>SUM(B119:B126)</f>
        <v>-37339.157669745946</v>
      </c>
      <c r="C127" s="25">
        <f>SUM(C119:C126)</f>
        <v>-43987.881700872429</v>
      </c>
      <c r="D127" s="25">
        <f>SUM(D119:D126)</f>
        <v>-50947.647638953087</v>
      </c>
      <c r="E127" s="25">
        <f>SUM(E119:E126)</f>
        <v>-58228.168344917234</v>
      </c>
      <c r="F127" s="26">
        <f>SUM(F119:F126)</f>
        <v>-65842.492297596444</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0</v>
      </c>
      <c r="C135" s="1285">
        <f>+B135</f>
        <v>0</v>
      </c>
      <c r="D135" s="1285">
        <f>+C135</f>
        <v>0</v>
      </c>
      <c r="E135" s="1285">
        <f>+D135</f>
        <v>0</v>
      </c>
      <c r="F135" s="1285">
        <f>+E135</f>
        <v>0</v>
      </c>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-37339.157669745946</v>
      </c>
      <c r="C138" s="25">
        <f>SUM(C127:C137)</f>
        <v>-43987.881700872429</v>
      </c>
      <c r="D138" s="25">
        <f>SUM(D127:D137)</f>
        <v>-50947.647638953087</v>
      </c>
      <c r="E138" s="25">
        <f>SUM(E127:E137)</f>
        <v>-58228.168344917234</v>
      </c>
      <c r="F138" s="26">
        <f>SUM(F127:F137)</f>
        <v>-65842.492297596444</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0.93673903477037723</v>
      </c>
      <c r="C145" s="379">
        <f>IF(OR(C125="Choose mgt fee",C125="Choose One!"),"",(C119+C120+C121+C122+C123) / -(C124+C125+C126))</f>
        <v>0.92764518293240839</v>
      </c>
      <c r="D145" s="379">
        <f>IF(OR(D125="Choose mgt fee",D125="Choose One!"),"",(D119+D120+D121+D122+D123) / -(D124+D125+D126))</f>
        <v>0.91863812681941315</v>
      </c>
      <c r="E145" s="379">
        <f>IF(OR(E125="Choose mgt fee",E125="Choose One!"),"",(E119+E120+E121+E122+E123) / -(E124+E125+E126))</f>
        <v>0.90971971909361526</v>
      </c>
      <c r="F145" s="380">
        <f>IF(OR(F125="Choose mgt fee",F125="Choose One!"),"",(F119+F120+F121+F122+F123) / -(F124+F125+F126))</f>
        <v>0.90088742100594132</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f>IF('Part III A-Sources of Funds'!$H$33="","",-FV('Part III A-Sources of Funds'!$J$33/12,12,B130/12,K112))</f>
        <v>1338659.8830786897</v>
      </c>
      <c r="C147" s="1285">
        <f>IF('Part III A-Sources of Funds'!$H$33="","",-FV('Part III A-Sources of Funds'!$J$33/12,12,C130/12,B147))</f>
        <v>1352108.0079053359</v>
      </c>
      <c r="D147" s="1285">
        <f>IF('Part III A-Sources of Funds'!$H$33="","",-FV('Part III A-Sources of Funds'!$J$33/12,12,D130/12,C147))</f>
        <v>1365691.2320679964</v>
      </c>
      <c r="E147" s="1285">
        <f>IF('Part III A-Sources of Funds'!$H$33="","",-FV('Part III A-Sources of Funds'!$J$33/12,12,E130/12,D147))</f>
        <v>1379410.9127693169</v>
      </c>
      <c r="F147" s="1285">
        <f>IF('Part III A-Sources of Funds'!$H$33="","",-FV('Part III A-Sources of Funds'!$J$33/12,12,F130/12,E147))</f>
        <v>1393268.4208463475</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90" zoomScaleNormal="90" zoomScaleSheetLayoutView="40" workbookViewId="0">
      <pane ySplit="915" topLeftCell="A173" activePane="bottomLeft"/>
      <selection activeCell="C31" sqref="C31"/>
      <selection pane="bottomLeft" activeCell="C31" sqref="C31"/>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2011-020 Heritage Vista Apartments, Milledgeville, Baldwin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1531</v>
      </c>
      <c r="P3" s="1028"/>
      <c r="Q3" s="302" t="s">
        <v>2890</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865</v>
      </c>
      <c r="P6" s="1020"/>
      <c r="Q6" s="1021"/>
    </row>
    <row r="7" spans="1:20" ht="12.6" customHeight="1">
      <c r="A7" s="174" t="s">
        <v>367</v>
      </c>
      <c r="C7" s="175"/>
      <c r="D7" s="175"/>
    </row>
    <row r="8" spans="1:20" ht="24.6" customHeight="1">
      <c r="A8" s="1022" t="s">
        <v>2119</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2115</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2116</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2117</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2118</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2120</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2923</v>
      </c>
      <c r="P29" s="989"/>
      <c r="Q29" s="990"/>
    </row>
    <row r="30" spans="1:19" ht="3" customHeight="1"/>
    <row r="31" spans="1:19" ht="12" customHeight="1">
      <c r="B31" s="192" t="s">
        <v>3060</v>
      </c>
      <c r="C31" s="65" t="s">
        <v>1078</v>
      </c>
      <c r="E31" s="40"/>
      <c r="F31" s="40"/>
      <c r="G31" s="40"/>
      <c r="H31" s="40"/>
      <c r="I31" s="52"/>
      <c r="J31" s="42"/>
      <c r="K31" s="52"/>
      <c r="L31" s="42"/>
      <c r="M31" s="42"/>
      <c r="O31" s="83" t="s">
        <v>924</v>
      </c>
      <c r="P31" s="1166" t="s">
        <v>3926</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1933</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1933</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2085</v>
      </c>
      <c r="C45" s="5"/>
      <c r="D45" s="5"/>
      <c r="E45" s="740"/>
      <c r="F45" s="740"/>
      <c r="G45" s="740"/>
      <c r="H45" s="740"/>
      <c r="K45" s="740"/>
      <c r="L45" s="740"/>
      <c r="M45" s="740"/>
      <c r="O45" s="180" t="s">
        <v>2923</v>
      </c>
      <c r="P45" s="989"/>
      <c r="Q45" s="990"/>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3933</v>
      </c>
      <c r="Q47" s="234"/>
    </row>
    <row r="48" spans="1:31" ht="11.25" customHeight="1">
      <c r="B48" s="131" t="s">
        <v>2921</v>
      </c>
      <c r="D48" s="131"/>
      <c r="E48" s="131"/>
      <c r="F48" s="131"/>
      <c r="G48" s="131"/>
      <c r="H48" s="50"/>
      <c r="I48" s="179"/>
      <c r="J48" s="179"/>
      <c r="K48" s="187" t="s">
        <v>2922</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682</v>
      </c>
      <c r="C51" s="153"/>
      <c r="D51" s="740"/>
      <c r="E51" s="740"/>
      <c r="F51" s="740"/>
      <c r="G51" s="740"/>
      <c r="H51" s="740"/>
      <c r="I51" s="740"/>
      <c r="J51" s="740"/>
      <c r="K51" s="740"/>
      <c r="L51" s="740"/>
      <c r="M51" s="740"/>
      <c r="O51" s="180" t="s">
        <v>2923</v>
      </c>
      <c r="P51" s="989"/>
      <c r="Q51" s="990"/>
    </row>
    <row r="52" spans="1:31" ht="3" customHeight="1"/>
    <row r="53" spans="1:31" ht="12.6" customHeight="1">
      <c r="B53" s="192" t="s">
        <v>3060</v>
      </c>
      <c r="C53" s="1014" t="s">
        <v>400</v>
      </c>
      <c r="D53" s="1014"/>
      <c r="E53" s="1014"/>
      <c r="F53" s="1014"/>
      <c r="G53" s="1014"/>
      <c r="H53" s="1014"/>
      <c r="I53" s="1014"/>
      <c r="J53" s="1014"/>
      <c r="K53" s="1014"/>
      <c r="L53" s="1014"/>
      <c r="M53" s="1014"/>
      <c r="O53" s="193"/>
      <c r="P53" s="1166" t="s">
        <v>3977</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7"/>
      <c r="F55" s="737"/>
      <c r="G55" s="737"/>
      <c r="H55" s="42"/>
      <c r="I55" s="52"/>
      <c r="J55" s="52"/>
      <c r="K55" s="52"/>
      <c r="L55" s="42"/>
      <c r="M55" s="42"/>
      <c r="O55" s="83" t="s">
        <v>2765</v>
      </c>
      <c r="P55" s="1166" t="s">
        <v>3933</v>
      </c>
      <c r="Q55" s="234"/>
    </row>
    <row r="56" spans="1:31" ht="10.9" customHeight="1">
      <c r="A56" s="194"/>
      <c r="B56" s="52"/>
      <c r="C56" s="83" t="s">
        <v>2766</v>
      </c>
      <c r="D56" s="40" t="s">
        <v>2846</v>
      </c>
      <c r="E56" s="737"/>
      <c r="F56" s="737"/>
      <c r="G56" s="737"/>
      <c r="H56" s="42"/>
      <c r="I56" s="52"/>
      <c r="J56" s="52"/>
      <c r="O56" s="83" t="s">
        <v>2766</v>
      </c>
      <c r="P56" s="1166"/>
      <c r="Q56" s="234"/>
    </row>
    <row r="57" spans="1:31" ht="10.9" customHeight="1">
      <c r="A57" s="194"/>
      <c r="B57" s="52"/>
      <c r="C57" s="83" t="s">
        <v>2767</v>
      </c>
      <c r="D57" s="40" t="s">
        <v>401</v>
      </c>
      <c r="E57" s="737"/>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3703</v>
      </c>
      <c r="C65" s="742"/>
      <c r="D65" s="740"/>
      <c r="E65" s="740"/>
      <c r="F65" s="740"/>
      <c r="G65" s="740"/>
      <c r="H65" s="740"/>
      <c r="I65" s="740"/>
      <c r="J65" s="740"/>
      <c r="K65" s="740"/>
      <c r="O65" s="180" t="s">
        <v>2923</v>
      </c>
      <c r="P65" s="989"/>
      <c r="Q65" s="990"/>
    </row>
    <row r="66" spans="1:31" ht="3" customHeight="1"/>
    <row r="67" spans="1:31" ht="12" customHeight="1">
      <c r="B67" s="57" t="s">
        <v>3060</v>
      </c>
      <c r="C67" s="195" t="s">
        <v>3730</v>
      </c>
      <c r="D67" s="182"/>
      <c r="E67" s="182"/>
      <c r="F67" s="182"/>
      <c r="G67" s="182"/>
      <c r="H67" s="182"/>
      <c r="I67" s="52"/>
      <c r="J67" s="52"/>
      <c r="K67" s="52"/>
      <c r="L67" s="62" t="s">
        <v>3060</v>
      </c>
      <c r="M67" s="1224" t="s">
        <v>3978</v>
      </c>
      <c r="N67" s="1225"/>
      <c r="O67" s="1225"/>
      <c r="P67" s="1227"/>
      <c r="Q67" s="234"/>
    </row>
    <row r="68" spans="1:31" ht="12" customHeight="1">
      <c r="B68" s="57" t="s">
        <v>3063</v>
      </c>
      <c r="C68" s="65" t="s">
        <v>3118</v>
      </c>
      <c r="D68" s="182"/>
      <c r="E68" s="182"/>
      <c r="F68" s="182"/>
      <c r="L68" s="62" t="s">
        <v>3063</v>
      </c>
      <c r="M68" s="1224" t="s">
        <v>4000</v>
      </c>
      <c r="N68" s="1225"/>
      <c r="O68" s="1225"/>
      <c r="P68" s="1227"/>
      <c r="Q68" s="234"/>
    </row>
    <row r="69" spans="1:31" ht="12" customHeight="1">
      <c r="B69" s="57" t="s">
        <v>1239</v>
      </c>
      <c r="C69" s="65" t="s">
        <v>3731</v>
      </c>
      <c r="D69" s="182"/>
      <c r="E69" s="182"/>
      <c r="F69" s="182"/>
      <c r="L69" s="62" t="s">
        <v>1239</v>
      </c>
      <c r="M69" s="1224" t="s">
        <v>4001</v>
      </c>
      <c r="N69" s="1225"/>
      <c r="O69" s="1225"/>
      <c r="P69" s="1227"/>
      <c r="Q69" s="351"/>
    </row>
    <row r="70" spans="1:31" ht="12" customHeight="1">
      <c r="B70" s="57" t="s">
        <v>3212</v>
      </c>
      <c r="C70" s="65" t="s">
        <v>3732</v>
      </c>
      <c r="D70" s="182"/>
      <c r="E70" s="182"/>
      <c r="F70" s="182"/>
      <c r="L70" s="62" t="s">
        <v>3212</v>
      </c>
      <c r="M70" s="1228">
        <v>6.0999999999999999E-2</v>
      </c>
      <c r="N70" s="1225"/>
      <c r="O70" s="1225"/>
      <c r="P70" s="1227"/>
      <c r="Q70" s="234"/>
    </row>
    <row r="71" spans="1:31" ht="22.15" customHeight="1">
      <c r="B71" s="192" t="s">
        <v>2763</v>
      </c>
      <c r="C71" s="1002" t="s">
        <v>3556</v>
      </c>
      <c r="D71" s="1004"/>
      <c r="E71" s="1004"/>
      <c r="F71" s="1004"/>
      <c r="G71" s="1004"/>
      <c r="H71" s="1004"/>
      <c r="I71" s="1004"/>
      <c r="J71" s="1004"/>
      <c r="K71" s="1004"/>
      <c r="L71" s="737"/>
      <c r="M71" s="737"/>
      <c r="O71" s="62" t="s">
        <v>2763</v>
      </c>
      <c r="P71" s="1166" t="s">
        <v>3933</v>
      </c>
      <c r="Q71" s="234"/>
    </row>
    <row r="72" spans="1:31" ht="12" customHeight="1">
      <c r="B72" s="57"/>
      <c r="C72" s="65"/>
      <c r="D72" s="711" t="s">
        <v>3593</v>
      </c>
      <c r="E72" s="40" t="s">
        <v>952</v>
      </c>
      <c r="F72" s="40"/>
      <c r="G72" s="65"/>
      <c r="H72" s="711" t="s">
        <v>3593</v>
      </c>
      <c r="I72" s="40" t="s">
        <v>952</v>
      </c>
      <c r="J72" s="40"/>
      <c r="K72" s="65"/>
      <c r="L72" s="711" t="s">
        <v>3593</v>
      </c>
      <c r="M72" s="40" t="s">
        <v>952</v>
      </c>
      <c r="N72" s="40"/>
      <c r="O72" s="65"/>
      <c r="P72" s="62"/>
      <c r="Q72" s="62"/>
    </row>
    <row r="73" spans="1:31" ht="12" customHeight="1">
      <c r="B73" s="57"/>
      <c r="C73" s="65">
        <v>1</v>
      </c>
      <c r="D73" s="1229" t="s">
        <v>4002</v>
      </c>
      <c r="E73" s="1230" t="s">
        <v>4003</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7"/>
      <c r="M76" s="737"/>
      <c r="O76" s="62" t="s">
        <v>2764</v>
      </c>
      <c r="P76" s="1166" t="s">
        <v>3933</v>
      </c>
      <c r="Q76" s="234"/>
    </row>
    <row r="77" spans="1:31" ht="11.25" customHeight="1">
      <c r="B77" s="191" t="s">
        <v>2921</v>
      </c>
      <c r="D77" s="191"/>
      <c r="E77" s="191"/>
      <c r="F77" s="191"/>
      <c r="G77" s="191"/>
      <c r="H77" s="50"/>
      <c r="I77" s="179"/>
      <c r="J77" s="179"/>
      <c r="K77" s="179"/>
      <c r="L77" s="738"/>
      <c r="M77" s="738"/>
      <c r="N77" s="738"/>
      <c r="O77" s="738"/>
      <c r="P77" s="738"/>
      <c r="Q77" s="63"/>
    </row>
    <row r="78" spans="1:31" ht="22.9" customHeight="1">
      <c r="A78" s="1152" t="s">
        <v>4020</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2923</v>
      </c>
      <c r="P83" s="989"/>
      <c r="Q83" s="990"/>
    </row>
    <row r="84" spans="1:17" ht="3" customHeight="1"/>
    <row r="85" spans="1:17" ht="12" customHeight="1">
      <c r="B85" s="57" t="s">
        <v>3060</v>
      </c>
      <c r="C85" s="65" t="s">
        <v>730</v>
      </c>
      <c r="D85" s="65"/>
      <c r="E85" s="65"/>
      <c r="F85" s="65"/>
      <c r="G85" s="65"/>
      <c r="H85" s="65"/>
      <c r="I85" s="65"/>
      <c r="J85" s="65"/>
      <c r="K85" s="65"/>
      <c r="L85" s="65"/>
      <c r="M85" s="65"/>
      <c r="O85" s="62" t="s">
        <v>3060</v>
      </c>
      <c r="P85" s="1166" t="s">
        <v>3926</v>
      </c>
      <c r="Q85" s="234"/>
    </row>
    <row r="86" spans="1:17" ht="12" customHeight="1">
      <c r="B86" s="57" t="s">
        <v>3063</v>
      </c>
      <c r="C86" s="65" t="s">
        <v>2006</v>
      </c>
      <c r="D86" s="65"/>
      <c r="E86" s="65"/>
      <c r="F86" s="65"/>
      <c r="G86" s="65"/>
      <c r="H86" s="65"/>
      <c r="I86" s="65"/>
      <c r="J86" s="65"/>
      <c r="K86" s="65"/>
      <c r="L86" s="40"/>
      <c r="M86" s="40"/>
      <c r="O86" s="62" t="s">
        <v>3063</v>
      </c>
      <c r="P86" s="1166" t="s">
        <v>3926</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5"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c r="Q93" s="234"/>
    </row>
    <row r="94" spans="1:17" ht="12" customHeight="1">
      <c r="B94" s="57"/>
      <c r="C94" s="83" t="s">
        <v>2766</v>
      </c>
      <c r="D94" s="65" t="s">
        <v>2151</v>
      </c>
      <c r="E94" s="65"/>
      <c r="F94" s="65"/>
      <c r="G94" s="65"/>
      <c r="H94" s="65"/>
      <c r="I94" s="65"/>
      <c r="J94" s="65"/>
      <c r="K94" s="65"/>
      <c r="L94" s="40"/>
      <c r="M94" s="40"/>
      <c r="O94" s="83" t="s">
        <v>2766</v>
      </c>
      <c r="P94" s="1166"/>
      <c r="Q94" s="234"/>
    </row>
    <row r="95" spans="1:17" ht="12" customHeight="1">
      <c r="B95" s="57"/>
      <c r="C95" s="83" t="s">
        <v>2767</v>
      </c>
      <c r="D95" s="65" t="s">
        <v>2152</v>
      </c>
      <c r="E95" s="65"/>
      <c r="F95" s="65"/>
      <c r="G95" s="65"/>
      <c r="H95" s="65"/>
      <c r="I95" s="65"/>
      <c r="J95" s="65"/>
      <c r="K95" s="65"/>
      <c r="L95" s="40"/>
      <c r="M95" s="40"/>
      <c r="O95" s="83" t="s">
        <v>2767</v>
      </c>
      <c r="P95" s="1166"/>
      <c r="Q95" s="234"/>
    </row>
    <row r="96" spans="1:17" ht="11.25" customHeight="1">
      <c r="B96" s="191" t="s">
        <v>2921</v>
      </c>
      <c r="D96" s="191"/>
      <c r="E96" s="191"/>
      <c r="F96" s="191"/>
      <c r="G96" s="191"/>
      <c r="H96" s="50"/>
      <c r="I96" s="179"/>
      <c r="J96" s="179"/>
      <c r="K96" s="179"/>
      <c r="L96" s="738"/>
      <c r="M96" s="738"/>
      <c r="N96" s="738"/>
      <c r="O96" s="738"/>
      <c r="P96" s="738"/>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2923</v>
      </c>
      <c r="P103" s="989"/>
      <c r="Q103" s="990"/>
    </row>
    <row r="104" spans="1:31" ht="6.6" customHeight="1"/>
    <row r="105" spans="1:31" ht="12" customHeight="1">
      <c r="B105" s="57" t="s">
        <v>3060</v>
      </c>
      <c r="C105" s="65" t="s">
        <v>202</v>
      </c>
      <c r="D105" s="182"/>
      <c r="E105" s="182"/>
      <c r="F105" s="182"/>
      <c r="G105" s="182"/>
      <c r="H105" s="182"/>
      <c r="I105" s="52"/>
      <c r="J105" s="52"/>
      <c r="K105" s="52"/>
      <c r="L105" s="62" t="s">
        <v>3060</v>
      </c>
      <c r="M105" s="1224" t="s">
        <v>3979</v>
      </c>
      <c r="N105" s="1225"/>
      <c r="O105" s="1225"/>
      <c r="P105" s="1226"/>
      <c r="Q105" s="234"/>
    </row>
    <row r="106" spans="1:31" ht="12" customHeight="1">
      <c r="B106" s="57" t="s">
        <v>3063</v>
      </c>
      <c r="C106" s="65" t="s">
        <v>2292</v>
      </c>
      <c r="D106" s="182"/>
      <c r="E106" s="182"/>
      <c r="F106" s="182"/>
      <c r="G106" s="182"/>
      <c r="H106" s="182"/>
      <c r="I106" s="52"/>
      <c r="J106" s="52"/>
      <c r="K106" s="182"/>
      <c r="L106" s="182"/>
      <c r="M106" s="737"/>
      <c r="O106" s="62" t="s">
        <v>3063</v>
      </c>
      <c r="P106" s="1166" t="s">
        <v>3926</v>
      </c>
      <c r="Q106" s="351"/>
    </row>
    <row r="107" spans="1:31" ht="12" customHeight="1">
      <c r="B107" s="57" t="s">
        <v>1239</v>
      </c>
      <c r="C107" s="65" t="s">
        <v>205</v>
      </c>
      <c r="D107" s="182"/>
      <c r="E107" s="182"/>
      <c r="F107" s="182"/>
      <c r="G107" s="182"/>
      <c r="H107" s="182"/>
      <c r="I107" s="52"/>
      <c r="J107" s="52"/>
      <c r="K107" s="182"/>
      <c r="L107" s="737"/>
      <c r="M107" s="737"/>
      <c r="O107" s="62" t="s">
        <v>1239</v>
      </c>
      <c r="P107" s="1166" t="s">
        <v>3933</v>
      </c>
      <c r="Q107" s="234"/>
    </row>
    <row r="108" spans="1:31" ht="12" customHeight="1">
      <c r="B108" s="189"/>
      <c r="C108" s="65" t="s">
        <v>2843</v>
      </c>
      <c r="D108" s="52"/>
      <c r="E108" s="52"/>
      <c r="F108" s="52"/>
      <c r="G108" s="52"/>
      <c r="H108" s="65"/>
      <c r="I108" s="52"/>
      <c r="J108" s="52"/>
      <c r="K108" s="182"/>
      <c r="L108" s="737"/>
      <c r="M108" s="737"/>
      <c r="P108" s="1235">
        <v>61</v>
      </c>
      <c r="Q108" s="351"/>
    </row>
    <row r="109" spans="1:31" ht="12" customHeight="1">
      <c r="B109" s="189"/>
      <c r="C109" s="65" t="s">
        <v>2090</v>
      </c>
      <c r="D109" s="52"/>
      <c r="E109" s="52"/>
      <c r="F109" s="52"/>
      <c r="G109" s="52"/>
      <c r="H109" s="65"/>
      <c r="I109" s="52"/>
      <c r="J109" s="52"/>
      <c r="K109" s="182"/>
      <c r="L109" s="737"/>
      <c r="M109" s="737"/>
      <c r="N109" s="737"/>
      <c r="O109" s="737"/>
    </row>
    <row r="110" spans="1:31" ht="11.45" customHeight="1">
      <c r="B110" s="738"/>
      <c r="C110" s="1236" t="s">
        <v>3996</v>
      </c>
      <c r="D110" s="1237"/>
      <c r="E110" s="1237"/>
      <c r="F110" s="1237"/>
      <c r="G110" s="1237"/>
      <c r="H110" s="1237"/>
      <c r="I110" s="1237"/>
      <c r="J110" s="1237"/>
      <c r="K110" s="1237"/>
      <c r="L110" s="1237"/>
      <c r="M110" s="1237"/>
      <c r="N110" s="1237"/>
      <c r="O110" s="1238"/>
      <c r="P110" s="740"/>
      <c r="Q110" s="738"/>
    </row>
    <row r="111" spans="1:31" ht="12" customHeight="1">
      <c r="B111" s="57" t="s">
        <v>3212</v>
      </c>
      <c r="C111" s="65" t="s">
        <v>1945</v>
      </c>
      <c r="D111" s="182"/>
      <c r="E111" s="182"/>
      <c r="F111" s="182"/>
      <c r="G111" s="182"/>
      <c r="H111" s="182"/>
      <c r="I111" s="52"/>
      <c r="J111" s="52"/>
      <c r="K111" s="182"/>
      <c r="L111" s="737"/>
      <c r="M111" s="737"/>
      <c r="N111" s="737"/>
      <c r="O111" s="62" t="s">
        <v>3212</v>
      </c>
    </row>
    <row r="112" spans="1:31" ht="12" customHeight="1">
      <c r="B112" s="57"/>
      <c r="C112" s="83" t="s">
        <v>2765</v>
      </c>
      <c r="D112" s="65" t="s">
        <v>203</v>
      </c>
      <c r="E112" s="182"/>
      <c r="F112" s="182"/>
      <c r="G112" s="182"/>
      <c r="H112" s="182"/>
      <c r="I112" s="52"/>
      <c r="J112" s="52"/>
      <c r="K112" s="182"/>
      <c r="L112" s="737"/>
      <c r="M112" s="737"/>
      <c r="O112" s="83" t="s">
        <v>2765</v>
      </c>
      <c r="P112" s="1166" t="s">
        <v>3926</v>
      </c>
      <c r="Q112" s="234"/>
    </row>
    <row r="113" spans="1:17" ht="12" customHeight="1">
      <c r="B113" s="57"/>
      <c r="C113" s="83" t="s">
        <v>2766</v>
      </c>
      <c r="D113" s="65" t="s">
        <v>1946</v>
      </c>
      <c r="E113" s="182"/>
      <c r="F113" s="182"/>
      <c r="G113" s="182"/>
      <c r="H113" s="52"/>
      <c r="I113" s="52"/>
      <c r="J113" s="52"/>
      <c r="K113" s="182"/>
      <c r="L113" s="737"/>
      <c r="M113" s="737"/>
      <c r="O113" s="83" t="s">
        <v>2766</v>
      </c>
      <c r="P113" s="1235" t="s">
        <v>3926</v>
      </c>
      <c r="Q113" s="351"/>
    </row>
    <row r="114" spans="1:17" ht="12" customHeight="1">
      <c r="B114" s="57"/>
      <c r="C114" s="83"/>
      <c r="D114" s="65" t="s">
        <v>2970</v>
      </c>
      <c r="E114" s="52"/>
      <c r="F114" s="52"/>
      <c r="G114" s="52"/>
      <c r="H114" s="65"/>
      <c r="I114" s="52"/>
      <c r="J114" s="52"/>
      <c r="K114" s="182"/>
      <c r="L114" s="737"/>
      <c r="M114" s="737"/>
      <c r="O114" s="737"/>
      <c r="P114" s="1239"/>
      <c r="Q114" s="457"/>
    </row>
    <row r="115" spans="1:17" ht="12" customHeight="1">
      <c r="B115" s="57"/>
      <c r="C115" s="83"/>
      <c r="D115" s="65" t="s">
        <v>3663</v>
      </c>
      <c r="E115" s="52"/>
      <c r="F115" s="52"/>
      <c r="G115" s="52"/>
      <c r="H115" s="65"/>
      <c r="I115" s="52"/>
      <c r="J115" s="52"/>
      <c r="K115" s="182"/>
      <c r="L115" s="737"/>
      <c r="M115" s="737"/>
      <c r="O115" s="737"/>
      <c r="P115" s="1235"/>
      <c r="Q115" s="351"/>
    </row>
    <row r="116" spans="1:17" ht="12" customHeight="1">
      <c r="B116" s="57"/>
      <c r="C116" s="83"/>
      <c r="D116" s="65" t="s">
        <v>3244</v>
      </c>
      <c r="E116" s="52"/>
      <c r="F116" s="52"/>
      <c r="G116" s="52"/>
      <c r="H116" s="65"/>
      <c r="I116" s="52"/>
      <c r="J116" s="52"/>
      <c r="K116" s="182"/>
      <c r="L116" s="737"/>
      <c r="M116" s="737"/>
      <c r="O116" s="737"/>
      <c r="P116" s="1235"/>
      <c r="Q116" s="351"/>
    </row>
    <row r="117" spans="1:17" ht="12" customHeight="1">
      <c r="B117" s="57"/>
      <c r="C117" s="83" t="s">
        <v>2767</v>
      </c>
      <c r="D117" s="65" t="s">
        <v>1947</v>
      </c>
      <c r="E117" s="182"/>
      <c r="F117" s="182"/>
      <c r="G117" s="182"/>
      <c r="H117" s="65"/>
      <c r="I117" s="52"/>
      <c r="J117" s="52"/>
      <c r="K117" s="182"/>
      <c r="L117" s="737"/>
      <c r="M117" s="737"/>
      <c r="O117" s="83" t="s">
        <v>2767</v>
      </c>
      <c r="P117" s="1166" t="s">
        <v>3933</v>
      </c>
      <c r="Q117" s="234"/>
    </row>
    <row r="118" spans="1:17" ht="12" customHeight="1">
      <c r="B118" s="57"/>
      <c r="C118" s="83"/>
      <c r="D118" s="65" t="s">
        <v>1408</v>
      </c>
      <c r="E118" s="52"/>
      <c r="F118" s="52"/>
      <c r="G118" s="52"/>
      <c r="H118" s="65"/>
      <c r="I118" s="52"/>
      <c r="J118" s="52"/>
      <c r="K118" s="182"/>
      <c r="L118" s="737"/>
      <c r="M118" s="737"/>
      <c r="O118" s="737"/>
      <c r="P118" s="1240">
        <v>0.03</v>
      </c>
      <c r="Q118" s="352"/>
    </row>
    <row r="119" spans="1:17" ht="12" customHeight="1">
      <c r="B119" s="57"/>
      <c r="C119" s="83"/>
      <c r="D119" s="65" t="s">
        <v>3245</v>
      </c>
      <c r="E119" s="52"/>
      <c r="F119" s="52"/>
      <c r="G119" s="52"/>
      <c r="H119" s="65"/>
      <c r="I119" s="52"/>
      <c r="J119" s="52"/>
      <c r="K119" s="182"/>
      <c r="L119" s="737"/>
      <c r="M119" s="737"/>
      <c r="O119" s="737"/>
      <c r="P119" s="1235" t="s">
        <v>3926</v>
      </c>
      <c r="Q119" s="351"/>
    </row>
    <row r="120" spans="1:17" ht="12" customHeight="1">
      <c r="B120" s="57"/>
      <c r="C120" s="83"/>
      <c r="D120" s="65" t="s">
        <v>3244</v>
      </c>
      <c r="E120" s="52"/>
      <c r="F120" s="52"/>
      <c r="G120" s="52"/>
      <c r="H120" s="65"/>
      <c r="I120" s="52"/>
      <c r="J120" s="52"/>
      <c r="K120" s="182"/>
      <c r="L120" s="737"/>
      <c r="M120" s="737"/>
      <c r="O120" s="737"/>
      <c r="P120" s="1235"/>
      <c r="Q120" s="351"/>
    </row>
    <row r="121" spans="1:17" ht="12" customHeight="1">
      <c r="B121" s="46"/>
      <c r="C121" s="83" t="s">
        <v>3571</v>
      </c>
      <c r="D121" s="65" t="s">
        <v>727</v>
      </c>
      <c r="E121" s="182"/>
      <c r="F121" s="182"/>
      <c r="G121" s="182"/>
      <c r="H121" s="182"/>
      <c r="I121" s="52"/>
      <c r="J121" s="52"/>
      <c r="K121" s="182"/>
      <c r="L121" s="737"/>
      <c r="M121" s="737"/>
      <c r="O121" s="83" t="s">
        <v>3571</v>
      </c>
      <c r="P121" s="1166" t="s">
        <v>3926</v>
      </c>
      <c r="Q121" s="234"/>
    </row>
    <row r="122" spans="1:17" ht="12" customHeight="1">
      <c r="B122" s="57" t="s">
        <v>2763</v>
      </c>
      <c r="C122" s="196" t="s">
        <v>3658</v>
      </c>
      <c r="D122" s="182"/>
      <c r="E122" s="182"/>
      <c r="F122" s="182"/>
      <c r="G122" s="182"/>
      <c r="H122" s="182"/>
      <c r="I122" s="52"/>
      <c r="J122" s="52"/>
      <c r="K122" s="182"/>
      <c r="L122" s="737"/>
      <c r="M122" s="737"/>
      <c r="N122" s="737"/>
      <c r="O122" s="62" t="s">
        <v>2763</v>
      </c>
      <c r="P122" s="1166" t="s">
        <v>3926</v>
      </c>
      <c r="Q122" s="234"/>
    </row>
    <row r="123" spans="1:17" ht="12" customHeight="1">
      <c r="B123" s="57"/>
      <c r="C123" s="83" t="s">
        <v>2765</v>
      </c>
      <c r="D123" s="65" t="s">
        <v>3659</v>
      </c>
      <c r="E123" s="182"/>
      <c r="F123" s="1166" t="s">
        <v>3926</v>
      </c>
      <c r="G123" s="234"/>
      <c r="H123" s="83" t="s">
        <v>2767</v>
      </c>
      <c r="I123" s="65" t="s">
        <v>2306</v>
      </c>
      <c r="J123" s="1166" t="s">
        <v>3926</v>
      </c>
      <c r="K123" s="234"/>
      <c r="L123" s="83" t="s">
        <v>2304</v>
      </c>
      <c r="M123" s="65" t="s">
        <v>3621</v>
      </c>
      <c r="N123" s="1166" t="s">
        <v>3926</v>
      </c>
      <c r="O123" s="234"/>
    </row>
    <row r="124" spans="1:17" ht="12" customHeight="1">
      <c r="B124" s="46"/>
      <c r="C124" s="83" t="s">
        <v>2766</v>
      </c>
      <c r="D124" s="65" t="s">
        <v>3775</v>
      </c>
      <c r="E124" s="182"/>
      <c r="F124" s="1166" t="s">
        <v>3926</v>
      </c>
      <c r="G124" s="234"/>
      <c r="H124" s="83" t="s">
        <v>3571</v>
      </c>
      <c r="I124" s="65" t="s">
        <v>2307</v>
      </c>
      <c r="J124" s="1166" t="s">
        <v>3926</v>
      </c>
      <c r="K124" s="234"/>
      <c r="L124" s="83" t="s">
        <v>2305</v>
      </c>
      <c r="M124" s="65" t="s">
        <v>2308</v>
      </c>
      <c r="N124" s="1166" t="s">
        <v>3926</v>
      </c>
      <c r="O124" s="234"/>
    </row>
    <row r="125" spans="1:17" ht="12" customHeight="1">
      <c r="B125" s="46"/>
      <c r="C125" s="83" t="s">
        <v>112</v>
      </c>
      <c r="D125" s="65" t="s">
        <v>53</v>
      </c>
      <c r="E125" s="182"/>
      <c r="F125" s="182"/>
      <c r="G125" s="182"/>
      <c r="H125" s="182"/>
      <c r="J125" s="1224" t="s">
        <v>3980</v>
      </c>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7"/>
      <c r="O126" s="62" t="s">
        <v>2764</v>
      </c>
      <c r="P126" s="1166" t="s">
        <v>3933</v>
      </c>
      <c r="Q126" s="234"/>
    </row>
    <row r="127" spans="1:17" ht="12" customHeight="1">
      <c r="A127" s="194"/>
      <c r="B127" s="52"/>
      <c r="C127" s="83" t="s">
        <v>2765</v>
      </c>
      <c r="D127" s="65" t="s">
        <v>1080</v>
      </c>
      <c r="E127" s="182"/>
      <c r="F127" s="182"/>
      <c r="G127" s="182"/>
      <c r="H127" s="182"/>
      <c r="O127" s="83" t="s">
        <v>2765</v>
      </c>
      <c r="P127" s="1166" t="s">
        <v>3933</v>
      </c>
      <c r="Q127" s="234"/>
    </row>
    <row r="128" spans="1:17" ht="12" customHeight="1">
      <c r="A128" s="194"/>
      <c r="B128" s="179"/>
      <c r="C128" s="83" t="s">
        <v>2766</v>
      </c>
      <c r="D128" s="65" t="s">
        <v>726</v>
      </c>
      <c r="E128" s="65"/>
      <c r="F128" s="65"/>
      <c r="G128" s="65"/>
      <c r="H128" s="65"/>
      <c r="I128" s="52"/>
      <c r="J128" s="52"/>
      <c r="K128" s="65"/>
      <c r="L128" s="65"/>
      <c r="M128" s="65"/>
      <c r="O128" s="83" t="s">
        <v>2766</v>
      </c>
      <c r="P128" s="1166" t="s">
        <v>3933</v>
      </c>
      <c r="Q128" s="234"/>
    </row>
    <row r="129" spans="1:31" ht="12" customHeight="1">
      <c r="A129" s="194"/>
      <c r="B129" s="179"/>
      <c r="C129" s="83" t="s">
        <v>2767</v>
      </c>
      <c r="D129" s="65" t="s">
        <v>1032</v>
      </c>
      <c r="E129" s="65"/>
      <c r="F129" s="65"/>
      <c r="G129" s="65"/>
      <c r="H129" s="65"/>
      <c r="I129" s="52"/>
      <c r="J129" s="52"/>
      <c r="K129" s="65"/>
      <c r="L129" s="65"/>
      <c r="M129" s="65"/>
      <c r="O129" s="83" t="s">
        <v>2767</v>
      </c>
      <c r="P129" s="1166" t="s">
        <v>3933</v>
      </c>
      <c r="Q129" s="234"/>
    </row>
    <row r="130" spans="1:31" ht="12" customHeight="1">
      <c r="B130" s="57" t="s">
        <v>3020</v>
      </c>
      <c r="C130" s="65" t="s">
        <v>2782</v>
      </c>
      <c r="D130" s="182"/>
      <c r="E130" s="182"/>
      <c r="F130" s="182"/>
      <c r="G130" s="182"/>
      <c r="H130" s="182"/>
      <c r="I130" s="52"/>
      <c r="J130" s="52"/>
      <c r="K130" s="182"/>
      <c r="L130" s="182"/>
      <c r="M130" s="737"/>
      <c r="O130" s="62" t="s">
        <v>3020</v>
      </c>
      <c r="P130" s="1166" t="s">
        <v>1581</v>
      </c>
      <c r="Q130" s="234"/>
    </row>
    <row r="131" spans="1:31" ht="4.9000000000000004" customHeight="1"/>
    <row r="132" spans="1:31" ht="11.25" customHeight="1">
      <c r="B132" s="191" t="s">
        <v>2921</v>
      </c>
      <c r="D132" s="191"/>
      <c r="E132" s="191"/>
      <c r="F132" s="191"/>
      <c r="G132" s="191"/>
      <c r="H132" s="50"/>
      <c r="I132" s="179"/>
      <c r="J132" s="179"/>
      <c r="K132" s="179"/>
      <c r="L132" s="738"/>
      <c r="M132" s="738"/>
      <c r="N132" s="738"/>
      <c r="O132" s="738"/>
      <c r="P132" s="738"/>
      <c r="Q132" s="63"/>
    </row>
    <row r="133" spans="1:31" ht="12" customHeight="1">
      <c r="A133" s="1152" t="s">
        <v>4021</v>
      </c>
      <c r="B133" s="1153"/>
      <c r="C133" s="1153"/>
      <c r="D133" s="1153"/>
      <c r="E133" s="1153"/>
      <c r="F133" s="1153"/>
      <c r="G133" s="1153"/>
      <c r="H133" s="1153"/>
      <c r="I133" s="1153"/>
      <c r="J133" s="1153"/>
      <c r="K133" s="1153"/>
      <c r="L133" s="1153"/>
      <c r="M133" s="1153"/>
      <c r="N133" s="1153"/>
      <c r="O133" s="1153"/>
      <c r="P133" s="1153"/>
      <c r="Q133" s="1154"/>
      <c r="R133" s="1029" t="s">
        <v>1933</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1933</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1601</v>
      </c>
      <c r="C141" s="742"/>
      <c r="D141" s="740"/>
      <c r="E141" s="740"/>
      <c r="F141" s="740"/>
      <c r="G141" s="740"/>
      <c r="H141" s="740"/>
      <c r="I141" s="740"/>
      <c r="J141" s="740"/>
      <c r="K141" s="740"/>
      <c r="O141" s="180" t="s">
        <v>2923</v>
      </c>
      <c r="P141" s="989"/>
      <c r="Q141" s="990"/>
    </row>
    <row r="142" spans="1:31" ht="10.9" customHeight="1">
      <c r="B142" s="57" t="s">
        <v>3060</v>
      </c>
      <c r="C142" s="65" t="s">
        <v>3120</v>
      </c>
      <c r="D142" s="65"/>
      <c r="E142" s="65"/>
      <c r="F142" s="65"/>
      <c r="G142" s="65"/>
      <c r="H142" s="65"/>
      <c r="N142" s="65"/>
      <c r="O142" s="62" t="s">
        <v>3060</v>
      </c>
      <c r="P142" s="1166" t="s">
        <v>3933</v>
      </c>
      <c r="Q142" s="234"/>
    </row>
    <row r="143" spans="1:31" ht="12" customHeight="1">
      <c r="A143" s="189"/>
      <c r="B143" s="57" t="s">
        <v>3063</v>
      </c>
      <c r="C143" s="190" t="s">
        <v>204</v>
      </c>
      <c r="D143" s="190"/>
      <c r="E143" s="190"/>
      <c r="F143" s="190"/>
      <c r="G143" s="190"/>
      <c r="H143" s="190"/>
      <c r="M143" s="62" t="s">
        <v>3063</v>
      </c>
      <c r="N143" s="1241" t="s">
        <v>3981</v>
      </c>
      <c r="O143" s="1242"/>
      <c r="P143" s="1033"/>
      <c r="Q143" s="1034"/>
    </row>
    <row r="144" spans="1:31" ht="12" customHeight="1">
      <c r="A144" s="189"/>
      <c r="B144" s="57" t="s">
        <v>1239</v>
      </c>
      <c r="C144" s="190" t="s">
        <v>1033</v>
      </c>
      <c r="D144" s="190"/>
      <c r="E144" s="190"/>
      <c r="F144" s="190"/>
      <c r="G144" s="190"/>
      <c r="H144" s="190"/>
      <c r="J144" s="62" t="s">
        <v>1239</v>
      </c>
      <c r="K144" s="1243" t="s">
        <v>3934</v>
      </c>
      <c r="L144" s="1244"/>
      <c r="M144" s="1244"/>
      <c r="N144" s="1244"/>
      <c r="O144" s="1245"/>
      <c r="P144" s="1166" t="s">
        <v>3933</v>
      </c>
      <c r="Q144" s="234"/>
    </row>
    <row r="145" spans="1:31" ht="12" customHeight="1">
      <c r="B145" s="191" t="s">
        <v>2921</v>
      </c>
      <c r="D145" s="191"/>
      <c r="E145" s="191"/>
      <c r="F145" s="191"/>
      <c r="G145" s="191"/>
      <c r="H145" s="50"/>
      <c r="I145" s="179"/>
      <c r="J145" s="179"/>
      <c r="K145" s="179"/>
      <c r="L145" s="738"/>
      <c r="M145" s="738"/>
      <c r="N145" s="738"/>
      <c r="O145" s="738"/>
      <c r="P145" s="738"/>
      <c r="Q145" s="63"/>
    </row>
    <row r="146" spans="1:31" ht="11.45" customHeight="1">
      <c r="A146" s="1152" t="s">
        <v>4022</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683</v>
      </c>
      <c r="C152" s="742"/>
      <c r="D152" s="740"/>
      <c r="E152" s="740"/>
      <c r="F152" s="740"/>
      <c r="G152" s="740"/>
      <c r="H152" s="740"/>
      <c r="I152" s="740"/>
      <c r="J152" s="740"/>
      <c r="K152" s="740"/>
      <c r="L152" s="740"/>
      <c r="M152" s="740"/>
      <c r="O152" s="180" t="s">
        <v>2923</v>
      </c>
      <c r="P152" s="989"/>
      <c r="Q152" s="990"/>
    </row>
    <row r="153" spans="1:31" ht="12" customHeight="1">
      <c r="B153" s="192" t="s">
        <v>3060</v>
      </c>
      <c r="C153" s="190" t="s">
        <v>109</v>
      </c>
      <c r="D153" s="190"/>
      <c r="E153" s="190"/>
      <c r="F153" s="190"/>
      <c r="G153" s="190"/>
      <c r="H153" s="190"/>
      <c r="I153" s="190"/>
      <c r="J153" s="190"/>
      <c r="K153" s="190"/>
      <c r="L153" s="197"/>
      <c r="M153" s="197"/>
      <c r="N153" s="197"/>
      <c r="O153" s="221" t="s">
        <v>3060</v>
      </c>
      <c r="P153" s="1166" t="s">
        <v>3933</v>
      </c>
      <c r="Q153" s="234"/>
    </row>
    <row r="154" spans="1:31" ht="22.15" customHeight="1">
      <c r="B154" s="192" t="s">
        <v>3063</v>
      </c>
      <c r="C154" s="1002" t="s">
        <v>3791</v>
      </c>
      <c r="D154" s="1002"/>
      <c r="E154" s="1002"/>
      <c r="F154" s="1002"/>
      <c r="G154" s="1002"/>
      <c r="H154" s="1002"/>
      <c r="I154" s="1002"/>
      <c r="J154" s="1002"/>
      <c r="K154" s="1002"/>
      <c r="L154" s="1002"/>
      <c r="M154" s="1002"/>
      <c r="N154" s="1002"/>
      <c r="O154" s="221" t="s">
        <v>3063</v>
      </c>
      <c r="P154" s="1166"/>
      <c r="Q154" s="234"/>
    </row>
    <row r="155" spans="1:31" ht="12" customHeight="1">
      <c r="B155" s="191" t="s">
        <v>2921</v>
      </c>
      <c r="D155" s="191"/>
      <c r="E155" s="191"/>
      <c r="F155" s="191"/>
      <c r="G155" s="191"/>
      <c r="H155" s="50"/>
      <c r="I155" s="179"/>
      <c r="J155" s="179"/>
      <c r="K155" s="179"/>
      <c r="L155" s="738"/>
      <c r="M155" s="738"/>
      <c r="N155" s="738"/>
      <c r="O155" s="738"/>
      <c r="P155" s="738"/>
      <c r="Q155" s="63"/>
    </row>
    <row r="156" spans="1:31" ht="11.45" customHeight="1">
      <c r="A156" s="1152" t="s">
        <v>4023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2923</v>
      </c>
      <c r="P162" s="989"/>
      <c r="Q162" s="990"/>
    </row>
    <row r="163" spans="1:31" ht="12" customHeight="1">
      <c r="B163" s="192" t="s">
        <v>3060</v>
      </c>
      <c r="C163" s="197" t="s">
        <v>697</v>
      </c>
      <c r="D163" s="197"/>
      <c r="E163" s="197"/>
      <c r="F163" s="197"/>
      <c r="G163" s="197"/>
      <c r="H163" s="197"/>
      <c r="I163" s="197"/>
      <c r="J163" s="197"/>
      <c r="K163" s="197"/>
      <c r="L163" s="197"/>
      <c r="M163" s="197"/>
      <c r="O163" s="221" t="s">
        <v>3060</v>
      </c>
      <c r="P163" s="1166" t="s">
        <v>3933</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3933</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3933</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3933</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3933</v>
      </c>
      <c r="Q167" s="234"/>
    </row>
    <row r="168" spans="1:31" ht="12" customHeight="1">
      <c r="B168" s="191" t="s">
        <v>2921</v>
      </c>
      <c r="D168" s="191"/>
      <c r="E168" s="191"/>
      <c r="F168" s="191"/>
      <c r="G168" s="191"/>
      <c r="H168" s="50"/>
      <c r="I168" s="179"/>
      <c r="J168" s="179"/>
      <c r="K168" s="179"/>
      <c r="L168" s="738"/>
      <c r="M168" s="738"/>
      <c r="N168" s="738"/>
      <c r="O168" s="738"/>
      <c r="P168" s="738"/>
      <c r="Q168" s="63"/>
    </row>
    <row r="169" spans="1:31" ht="11.45" customHeight="1">
      <c r="A169" s="1152" t="s">
        <v>3984</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2923</v>
      </c>
      <c r="P175" s="989"/>
      <c r="Q175" s="990"/>
    </row>
    <row r="176" spans="1:31" ht="12" customHeight="1">
      <c r="A176" s="189"/>
      <c r="B176" s="57" t="s">
        <v>3060</v>
      </c>
      <c r="C176" s="1002" t="s">
        <v>110</v>
      </c>
      <c r="D176" s="1002"/>
      <c r="E176" s="1002"/>
      <c r="F176" s="1002"/>
      <c r="G176" s="1002"/>
      <c r="H176" s="83" t="s">
        <v>2765</v>
      </c>
      <c r="I176" s="65" t="s">
        <v>206</v>
      </c>
      <c r="J176" s="1224" t="s">
        <v>1581</v>
      </c>
      <c r="K176" s="1225"/>
      <c r="L176" s="1225"/>
      <c r="M176" s="1225"/>
      <c r="N176" s="1226"/>
      <c r="O176" s="83" t="s">
        <v>2765</v>
      </c>
      <c r="P176" s="1166"/>
      <c r="Q176" s="234"/>
    </row>
    <row r="177" spans="1:31" ht="12" customHeight="1">
      <c r="A177" s="189"/>
      <c r="B177" s="179"/>
      <c r="C177" s="141"/>
      <c r="D177" s="141"/>
      <c r="E177" s="141"/>
      <c r="F177" s="141"/>
      <c r="H177" s="83" t="s">
        <v>2766</v>
      </c>
      <c r="I177" s="65" t="s">
        <v>2358</v>
      </c>
      <c r="J177" s="1224" t="s">
        <v>3982</v>
      </c>
      <c r="K177" s="1225"/>
      <c r="L177" s="1225"/>
      <c r="M177" s="1225"/>
      <c r="N177" s="1226"/>
      <c r="O177" s="83" t="s">
        <v>2766</v>
      </c>
      <c r="P177" s="1166" t="s">
        <v>3933</v>
      </c>
      <c r="Q177" s="234"/>
    </row>
    <row r="178" spans="1:31" ht="12" customHeight="1">
      <c r="B178" s="191" t="s">
        <v>2921</v>
      </c>
      <c r="D178" s="191"/>
      <c r="E178" s="191"/>
      <c r="F178" s="191"/>
      <c r="G178" s="191"/>
      <c r="J178" s="179"/>
      <c r="K178" s="179"/>
      <c r="L178" s="738"/>
      <c r="M178" s="738"/>
      <c r="N178" s="738"/>
      <c r="O178" s="738"/>
      <c r="P178" s="738"/>
      <c r="Q178" s="63"/>
    </row>
    <row r="179" spans="1:31" ht="11.45" customHeight="1">
      <c r="A179" s="1159" t="s">
        <v>4024</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3702</v>
      </c>
      <c r="C183" s="5"/>
      <c r="D183" s="118"/>
      <c r="E183" s="118"/>
      <c r="F183" s="118"/>
      <c r="G183" s="740"/>
      <c r="H183" s="740"/>
      <c r="I183" s="740"/>
      <c r="J183" s="740"/>
      <c r="K183" s="740"/>
      <c r="L183" s="740"/>
      <c r="M183" s="740"/>
      <c r="O183" s="180" t="s">
        <v>2923</v>
      </c>
      <c r="P183" s="989"/>
      <c r="Q183" s="990"/>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3926</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1002" t="s">
        <v>2903</v>
      </c>
      <c r="D187" s="1002"/>
      <c r="E187" s="1002"/>
      <c r="F187" s="1002"/>
      <c r="G187" s="1002"/>
      <c r="H187" s="83" t="s">
        <v>2765</v>
      </c>
      <c r="I187" s="65" t="s">
        <v>972</v>
      </c>
      <c r="J187" s="1224" t="s">
        <v>3983</v>
      </c>
      <c r="K187" s="1225"/>
      <c r="L187" s="1225"/>
      <c r="M187" s="1225"/>
      <c r="N187" s="1226"/>
      <c r="O187" s="83" t="s">
        <v>2171</v>
      </c>
      <c r="P187" s="1166" t="s">
        <v>3933</v>
      </c>
      <c r="Q187" s="234"/>
    </row>
    <row r="188" spans="1:31" ht="11.45" customHeight="1">
      <c r="A188" s="189"/>
      <c r="B188" s="746"/>
      <c r="C188" s="1002"/>
      <c r="D188" s="1002"/>
      <c r="E188" s="1002"/>
      <c r="F188" s="1002"/>
      <c r="G188" s="1002"/>
      <c r="H188" s="83" t="s">
        <v>2766</v>
      </c>
      <c r="I188" s="65" t="s">
        <v>131</v>
      </c>
      <c r="J188" s="1224" t="s">
        <v>3983</v>
      </c>
      <c r="K188" s="1225"/>
      <c r="L188" s="1225"/>
      <c r="M188" s="1225"/>
      <c r="N188" s="1226"/>
      <c r="O188" s="83" t="s">
        <v>2766</v>
      </c>
      <c r="P188" s="1166" t="s">
        <v>3933</v>
      </c>
      <c r="Q188" s="234"/>
    </row>
    <row r="189" spans="1:31" ht="11.25" customHeight="1">
      <c r="B189" s="191" t="s">
        <v>2921</v>
      </c>
      <c r="D189" s="191"/>
      <c r="E189" s="191"/>
      <c r="F189" s="191"/>
      <c r="G189" s="191"/>
      <c r="H189" s="50"/>
      <c r="I189" s="179"/>
      <c r="J189" s="179"/>
      <c r="K189" s="179"/>
      <c r="L189" s="738"/>
      <c r="M189" s="738"/>
      <c r="N189" s="738"/>
      <c r="O189" s="738"/>
      <c r="P189" s="738"/>
      <c r="Q189" s="63"/>
    </row>
    <row r="190" spans="1:31" ht="11.45" customHeight="1">
      <c r="A190" s="1159" t="s">
        <v>3985</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2923</v>
      </c>
      <c r="P194" s="989"/>
      <c r="Q194" s="990"/>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3933</v>
      </c>
      <c r="Q196" s="234"/>
    </row>
    <row r="197" spans="1:31" ht="11.45" customHeight="1">
      <c r="B197" s="57" t="s">
        <v>3063</v>
      </c>
      <c r="C197" s="65" t="s">
        <v>194</v>
      </c>
      <c r="D197" s="65"/>
      <c r="E197" s="65"/>
      <c r="F197" s="65"/>
      <c r="G197" s="65"/>
      <c r="H197" s="65"/>
      <c r="I197" s="52"/>
      <c r="J197" s="52"/>
      <c r="K197" s="52"/>
      <c r="L197" s="190"/>
      <c r="M197" s="190"/>
      <c r="O197" s="221" t="s">
        <v>3063</v>
      </c>
      <c r="P197" s="1166" t="s">
        <v>3933</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3933</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3933</v>
      </c>
      <c r="Q199" s="234"/>
    </row>
    <row r="200" spans="1:31" ht="11.25" customHeight="1">
      <c r="B200" s="191" t="s">
        <v>2921</v>
      </c>
      <c r="D200" s="191"/>
      <c r="E200" s="191"/>
      <c r="F200" s="191"/>
      <c r="G200" s="191"/>
      <c r="H200" s="50"/>
      <c r="I200" s="179"/>
      <c r="J200" s="179"/>
      <c r="K200" s="179"/>
      <c r="L200" s="738"/>
      <c r="M200" s="738"/>
      <c r="N200" s="738"/>
      <c r="O200" s="738"/>
      <c r="P200" s="738"/>
      <c r="Q200" s="63"/>
    </row>
    <row r="201" spans="1:31" ht="13.15" customHeight="1">
      <c r="A201" s="1152" t="s">
        <v>4025</v>
      </c>
      <c r="B201" s="1153"/>
      <c r="C201" s="1153"/>
      <c r="D201" s="1153"/>
      <c r="E201" s="1153"/>
      <c r="F201" s="1153"/>
      <c r="G201" s="1153"/>
      <c r="H201" s="1153"/>
      <c r="I201" s="1153"/>
      <c r="J201" s="1153"/>
      <c r="K201" s="1153"/>
      <c r="L201" s="1153"/>
      <c r="M201" s="1153"/>
      <c r="N201" s="1153"/>
      <c r="O201" s="1153"/>
      <c r="P201" s="1153"/>
      <c r="Q201" s="1154"/>
      <c r="R201" s="1029" t="s">
        <v>1933</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681</v>
      </c>
      <c r="C208" s="153"/>
      <c r="D208" s="740"/>
      <c r="E208" s="740"/>
      <c r="F208" s="740"/>
      <c r="G208" s="740"/>
      <c r="H208" s="740"/>
      <c r="I208" s="740"/>
      <c r="J208" s="740"/>
      <c r="K208" s="740"/>
      <c r="L208" s="740"/>
      <c r="M208" s="740"/>
      <c r="O208" s="180" t="s">
        <v>2923</v>
      </c>
      <c r="P208" s="989"/>
      <c r="Q208" s="990"/>
    </row>
    <row r="209" spans="1:19" s="31" customFormat="1" ht="11.45" customHeight="1">
      <c r="B209" s="195" t="s">
        <v>1839</v>
      </c>
      <c r="N209" s="165"/>
      <c r="P209" s="1166" t="s">
        <v>3926</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826</v>
      </c>
      <c r="N211" s="1225"/>
      <c r="O211" s="1226"/>
      <c r="P211" s="1166" t="s">
        <v>3977</v>
      </c>
      <c r="Q211" s="234"/>
    </row>
    <row r="212" spans="1:19" ht="11.45" customHeight="1">
      <c r="B212" s="57"/>
      <c r="C212" s="83" t="s">
        <v>2766</v>
      </c>
      <c r="D212" s="40" t="s">
        <v>198</v>
      </c>
      <c r="E212" s="40"/>
      <c r="F212" s="40"/>
      <c r="G212" s="40"/>
      <c r="H212" s="40"/>
      <c r="I212" s="52"/>
      <c r="J212" s="52"/>
      <c r="K212" s="52"/>
      <c r="L212" s="83" t="s">
        <v>2232</v>
      </c>
      <c r="M212" s="1224" t="s">
        <v>3986</v>
      </c>
      <c r="N212" s="1225"/>
      <c r="O212" s="1226"/>
      <c r="P212" s="1166" t="s">
        <v>3977</v>
      </c>
      <c r="Q212" s="234"/>
    </row>
    <row r="213" spans="1:19" ht="11.45" customHeight="1">
      <c r="B213" s="57"/>
      <c r="C213" s="83" t="s">
        <v>2767</v>
      </c>
      <c r="D213" s="40" t="s">
        <v>856</v>
      </c>
      <c r="E213" s="40"/>
      <c r="F213" s="40"/>
      <c r="G213" s="40"/>
      <c r="H213" s="40"/>
      <c r="I213" s="52"/>
      <c r="J213" s="52"/>
      <c r="K213" s="52"/>
      <c r="L213" s="83" t="s">
        <v>2233</v>
      </c>
      <c r="M213" s="1246" t="s">
        <v>3987</v>
      </c>
      <c r="N213" s="1247"/>
      <c r="O213" s="1248"/>
      <c r="P213" s="1166" t="s">
        <v>3977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3977</v>
      </c>
      <c r="Q215" s="234"/>
    </row>
    <row r="216" spans="1:19" ht="10.9" customHeight="1">
      <c r="B216" s="57"/>
      <c r="C216" s="65" t="s">
        <v>3792</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3201</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2644</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3977</v>
      </c>
      <c r="Q221" s="234"/>
    </row>
    <row r="222" spans="1:19" ht="11.45" customHeight="1">
      <c r="B222" s="57"/>
      <c r="C222" s="83" t="s">
        <v>2765</v>
      </c>
      <c r="D222" s="65" t="s">
        <v>207</v>
      </c>
      <c r="E222" s="65"/>
      <c r="F222" s="65"/>
      <c r="G222" s="65"/>
      <c r="H222" s="65"/>
      <c r="I222" s="52"/>
      <c r="J222" s="42"/>
      <c r="K222" s="52"/>
      <c r="L222" s="42"/>
      <c r="M222" s="42"/>
      <c r="O222" s="83" t="s">
        <v>2765</v>
      </c>
      <c r="P222" s="1166" t="s">
        <v>3933</v>
      </c>
      <c r="Q222" s="234"/>
    </row>
    <row r="223" spans="1:19" ht="11.45" customHeight="1">
      <c r="C223" s="83" t="s">
        <v>2766</v>
      </c>
      <c r="D223" s="40" t="s">
        <v>2648</v>
      </c>
      <c r="E223" s="40"/>
      <c r="F223" s="40"/>
      <c r="G223" s="40"/>
      <c r="H223" s="40"/>
      <c r="I223" s="52"/>
      <c r="J223" s="42"/>
      <c r="K223" s="52"/>
      <c r="L223" s="42"/>
      <c r="M223" s="42"/>
      <c r="O223" s="83" t="s">
        <v>2766</v>
      </c>
      <c r="P223" s="1166" t="s">
        <v>3933</v>
      </c>
      <c r="Q223" s="234"/>
    </row>
    <row r="224" spans="1:19" ht="11.45" customHeight="1">
      <c r="C224" s="83" t="s">
        <v>2767</v>
      </c>
      <c r="D224" s="40" t="s">
        <v>2257</v>
      </c>
      <c r="E224" s="40"/>
      <c r="F224" s="40"/>
      <c r="G224" s="40"/>
      <c r="H224" s="40"/>
      <c r="I224" s="52"/>
      <c r="J224" s="42"/>
      <c r="K224" s="52"/>
      <c r="L224" s="42"/>
      <c r="M224" s="42"/>
      <c r="O224" s="83" t="s">
        <v>2767</v>
      </c>
      <c r="P224" s="1166" t="s">
        <v>3933</v>
      </c>
      <c r="Q224" s="234"/>
    </row>
    <row r="225" spans="1:31" ht="11.45" customHeight="1">
      <c r="B225" s="57"/>
      <c r="C225" s="83" t="s">
        <v>3571</v>
      </c>
      <c r="D225" s="40" t="s">
        <v>208</v>
      </c>
      <c r="E225" s="40"/>
      <c r="F225" s="40"/>
      <c r="G225" s="40"/>
      <c r="H225" s="40"/>
      <c r="I225" s="52"/>
      <c r="J225" s="42"/>
      <c r="K225" s="52"/>
      <c r="L225" s="42"/>
      <c r="M225" s="42"/>
      <c r="O225" s="83" t="s">
        <v>3571</v>
      </c>
      <c r="P225" s="1166" t="s">
        <v>3933</v>
      </c>
      <c r="Q225" s="234"/>
    </row>
    <row r="226" spans="1:31" ht="11.45" customHeight="1">
      <c r="B226" s="57"/>
      <c r="C226" s="83" t="s">
        <v>2304</v>
      </c>
      <c r="D226" s="65" t="s">
        <v>1352</v>
      </c>
      <c r="E226" s="65"/>
      <c r="F226" s="65"/>
      <c r="G226" s="65"/>
      <c r="H226" s="65"/>
      <c r="I226" s="52"/>
      <c r="J226" s="42"/>
      <c r="K226" s="52"/>
      <c r="L226" s="42"/>
      <c r="M226" s="42"/>
      <c r="O226" s="83" t="s">
        <v>1353</v>
      </c>
      <c r="P226" s="1166" t="s">
        <v>3933</v>
      </c>
      <c r="Q226" s="234"/>
    </row>
    <row r="227" spans="1:31" ht="11.45" customHeight="1">
      <c r="B227" s="57"/>
      <c r="C227" s="83"/>
      <c r="D227" s="65" t="s">
        <v>2234</v>
      </c>
      <c r="E227" s="65"/>
      <c r="F227" s="65"/>
      <c r="G227" s="65"/>
      <c r="H227" s="65"/>
      <c r="I227" s="52"/>
      <c r="J227" s="42"/>
      <c r="K227" s="52"/>
      <c r="L227" s="42"/>
      <c r="M227" s="42"/>
      <c r="O227" s="83" t="s">
        <v>1354</v>
      </c>
      <c r="P227" s="1166" t="s">
        <v>3926</v>
      </c>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29" t="s">
        <v>1933</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3121</v>
      </c>
      <c r="C241" s="5"/>
      <c r="D241" s="118"/>
      <c r="E241" s="118"/>
      <c r="F241" s="118"/>
      <c r="G241" s="118"/>
      <c r="H241" s="740"/>
      <c r="I241" s="740"/>
      <c r="J241" s="740"/>
      <c r="K241" s="740"/>
      <c r="L241" s="740"/>
      <c r="M241" s="740"/>
      <c r="O241" s="180" t="s">
        <v>2923</v>
      </c>
      <c r="P241" s="989"/>
      <c r="Q241" s="990"/>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35" t="s">
        <v>2801</v>
      </c>
      <c r="Q243" s="1036"/>
    </row>
    <row r="244" spans="1:31" ht="11.45" customHeight="1">
      <c r="B244" s="57" t="s">
        <v>3063</v>
      </c>
      <c r="C244" s="65" t="s">
        <v>1922</v>
      </c>
      <c r="D244" s="65"/>
      <c r="E244" s="65"/>
      <c r="F244" s="65"/>
      <c r="G244" s="65"/>
      <c r="H244" s="65"/>
      <c r="I244" s="52"/>
      <c r="J244" s="52"/>
      <c r="K244" s="52"/>
      <c r="L244" s="62" t="s">
        <v>3063</v>
      </c>
      <c r="M244" s="1249"/>
      <c r="N244" s="1250"/>
      <c r="O244" s="1251"/>
      <c r="P244" s="1037"/>
      <c r="Q244" s="1038"/>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35"/>
      <c r="Q245" s="1036"/>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31" t="s">
        <v>1970</v>
      </c>
      <c r="D247" s="1031"/>
      <c r="E247" s="1031"/>
      <c r="F247" s="1031"/>
      <c r="G247" s="1031"/>
      <c r="H247" s="1031"/>
      <c r="I247" s="1031"/>
      <c r="J247" s="1031"/>
      <c r="K247" s="1031"/>
      <c r="L247" s="1031"/>
      <c r="M247" s="1031"/>
      <c r="O247" s="221" t="s">
        <v>2763</v>
      </c>
      <c r="P247" s="1166"/>
      <c r="Q247" s="234"/>
    </row>
    <row r="248" spans="1:31" ht="11.25" customHeight="1">
      <c r="B248" s="191" t="s">
        <v>2921</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9" t="s">
        <v>1933</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2820</v>
      </c>
      <c r="C255" s="5"/>
      <c r="D255" s="118"/>
      <c r="E255" s="118"/>
      <c r="F255" s="118"/>
      <c r="G255" s="118"/>
      <c r="H255" s="740"/>
      <c r="I255" s="740"/>
      <c r="J255" s="740"/>
      <c r="K255" s="740"/>
      <c r="L255" s="740"/>
      <c r="M255" s="740"/>
      <c r="O255" s="180" t="s">
        <v>2923</v>
      </c>
      <c r="P255" s="989"/>
      <c r="Q255" s="990"/>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3933</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3933</v>
      </c>
      <c r="Q258" s="234"/>
    </row>
    <row r="259" spans="1:31" ht="11.25" customHeight="1">
      <c r="B259" s="191" t="s">
        <v>2921</v>
      </c>
      <c r="D259" s="191"/>
      <c r="E259" s="191"/>
      <c r="F259" s="191"/>
      <c r="G259" s="191"/>
      <c r="H259" s="50"/>
      <c r="I259" s="179"/>
      <c r="J259" s="179"/>
      <c r="K259" s="179"/>
      <c r="L259" s="738"/>
      <c r="M259" s="738"/>
      <c r="N259" s="738"/>
      <c r="O259" s="738"/>
      <c r="P259" s="738"/>
      <c r="Q259" s="63"/>
    </row>
    <row r="260" spans="1:31" ht="13.15" customHeight="1">
      <c r="A260" s="1152" t="s">
        <v>4026</v>
      </c>
      <c r="B260" s="1153"/>
      <c r="C260" s="1153"/>
      <c r="D260" s="1153"/>
      <c r="E260" s="1153"/>
      <c r="F260" s="1153"/>
      <c r="G260" s="1153"/>
      <c r="H260" s="1153"/>
      <c r="I260" s="1153"/>
      <c r="J260" s="1153"/>
      <c r="K260" s="1153"/>
      <c r="L260" s="1153"/>
      <c r="M260" s="1153"/>
      <c r="N260" s="1153"/>
      <c r="O260" s="1153"/>
      <c r="P260" s="1153"/>
      <c r="Q260" s="1154"/>
      <c r="R260" s="1029" t="s">
        <v>1933</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1090</v>
      </c>
      <c r="C266" s="742"/>
      <c r="D266" s="740"/>
      <c r="E266" s="740"/>
      <c r="F266" s="740"/>
      <c r="G266" s="740"/>
      <c r="H266" s="740"/>
      <c r="I266" s="740"/>
      <c r="J266" s="740"/>
      <c r="K266" s="740"/>
      <c r="L266" s="740"/>
      <c r="M266" s="740"/>
      <c r="O266" s="180" t="s">
        <v>2923</v>
      </c>
      <c r="P266" s="989"/>
      <c r="Q266" s="990"/>
    </row>
    <row r="267" spans="1:31" ht="3" customHeight="1"/>
    <row r="268" spans="1:31" s="705" customFormat="1" ht="24" customHeight="1">
      <c r="B268" s="192" t="s">
        <v>3060</v>
      </c>
      <c r="C268" s="1002" t="s">
        <v>1208</v>
      </c>
      <c r="D268" s="1004"/>
      <c r="E268" s="1004"/>
      <c r="F268" s="1004"/>
      <c r="G268" s="1004"/>
      <c r="H268" s="1004"/>
      <c r="I268" s="1004"/>
      <c r="J268" s="1004"/>
      <c r="K268" s="1004"/>
      <c r="L268" s="1004"/>
      <c r="M268" s="1004"/>
      <c r="N268" s="1004"/>
      <c r="O268" s="221" t="s">
        <v>3060</v>
      </c>
      <c r="P268" s="1166" t="s">
        <v>3977</v>
      </c>
      <c r="Q268" s="234"/>
    </row>
    <row r="269" spans="1:31" s="705" customFormat="1" ht="24" customHeight="1">
      <c r="B269" s="192" t="s">
        <v>3063</v>
      </c>
      <c r="C269" s="1002" t="s">
        <v>1209</v>
      </c>
      <c r="D269" s="1004"/>
      <c r="E269" s="1004"/>
      <c r="F269" s="1004"/>
      <c r="G269" s="1004"/>
      <c r="H269" s="1004"/>
      <c r="I269" s="1004"/>
      <c r="J269" s="1004"/>
      <c r="K269" s="1004"/>
      <c r="L269" s="1004"/>
      <c r="M269" s="1004"/>
      <c r="N269" s="1004"/>
      <c r="O269" s="221" t="s">
        <v>3063</v>
      </c>
      <c r="P269" s="1166" t="s">
        <v>3977</v>
      </c>
      <c r="Q269" s="234"/>
    </row>
    <row r="270" spans="1:31" s="705" customFormat="1" ht="33" customHeight="1">
      <c r="B270" s="192" t="s">
        <v>1239</v>
      </c>
      <c r="C270" s="1002" t="s">
        <v>1210</v>
      </c>
      <c r="D270" s="1004"/>
      <c r="E270" s="1004"/>
      <c r="F270" s="1004"/>
      <c r="G270" s="1004"/>
      <c r="H270" s="1004"/>
      <c r="I270" s="1004"/>
      <c r="J270" s="1004"/>
      <c r="K270" s="1004"/>
      <c r="L270" s="1004"/>
      <c r="M270" s="1004"/>
      <c r="N270" s="1004"/>
      <c r="O270" s="221" t="s">
        <v>3063</v>
      </c>
      <c r="P270" s="1166"/>
      <c r="Q270" s="234"/>
    </row>
    <row r="271" spans="1:31" ht="11.25" customHeight="1">
      <c r="B271" s="191" t="s">
        <v>2921</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9" t="s">
        <v>1933</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878</v>
      </c>
      <c r="C278" s="201"/>
      <c r="D278" s="202"/>
      <c r="E278" s="740"/>
      <c r="F278" s="740"/>
      <c r="G278" s="740"/>
      <c r="H278" s="740"/>
      <c r="I278" s="740"/>
      <c r="J278" s="740"/>
      <c r="K278" s="740"/>
      <c r="L278" s="740"/>
      <c r="M278" s="740"/>
      <c r="O278" s="180" t="s">
        <v>2923</v>
      </c>
      <c r="P278" s="989"/>
      <c r="Q278" s="990"/>
    </row>
    <row r="279" spans="1:31" s="200" customFormat="1" ht="22.9" customHeight="1">
      <c r="B279" s="192" t="s">
        <v>3060</v>
      </c>
      <c r="C279" s="1031" t="s">
        <v>2944</v>
      </c>
      <c r="D279" s="1031"/>
      <c r="E279" s="1031"/>
      <c r="F279" s="1031"/>
      <c r="G279" s="1031"/>
      <c r="H279" s="1031"/>
      <c r="I279" s="1031"/>
      <c r="J279" s="1031"/>
      <c r="K279" s="1031"/>
      <c r="L279" s="1031"/>
      <c r="M279" s="1031"/>
      <c r="O279" s="221" t="s">
        <v>3060</v>
      </c>
      <c r="P279" s="1252" t="s">
        <v>3933</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3933</v>
      </c>
      <c r="Q280" s="234"/>
    </row>
    <row r="281" spans="1:31" s="200" customFormat="1" ht="22.9" customHeight="1">
      <c r="B281" s="192" t="s">
        <v>1239</v>
      </c>
      <c r="C281" s="1002" t="s">
        <v>2888</v>
      </c>
      <c r="D281" s="1004"/>
      <c r="E281" s="1004"/>
      <c r="F281" s="1004"/>
      <c r="G281" s="1004"/>
      <c r="H281" s="1004"/>
      <c r="I281" s="1004"/>
      <c r="J281" s="1004"/>
      <c r="K281" s="1004"/>
      <c r="L281" s="1004"/>
      <c r="M281" s="1004"/>
      <c r="N281" s="1004"/>
      <c r="O281" s="62" t="s">
        <v>1239</v>
      </c>
      <c r="P281" s="1166" t="s">
        <v>3933</v>
      </c>
      <c r="Q281" s="234"/>
    </row>
    <row r="282" spans="1:31" s="200" customFormat="1" ht="12" customHeight="1">
      <c r="B282" s="57" t="s">
        <v>3212</v>
      </c>
      <c r="C282" s="40" t="s">
        <v>2889</v>
      </c>
      <c r="D282" s="40"/>
      <c r="E282" s="40"/>
      <c r="F282" s="40"/>
      <c r="G282" s="40"/>
      <c r="H282" s="40"/>
      <c r="I282" s="40"/>
      <c r="J282" s="40"/>
      <c r="K282" s="40"/>
      <c r="L282" s="40"/>
      <c r="M282" s="40"/>
      <c r="O282" s="62" t="s">
        <v>3212</v>
      </c>
      <c r="P282" s="1166" t="s">
        <v>3933</v>
      </c>
      <c r="Q282" s="234"/>
    </row>
    <row r="283" spans="1:31" s="200" customFormat="1" ht="22.9" customHeight="1">
      <c r="B283" s="192" t="s">
        <v>2763</v>
      </c>
      <c r="C283" s="1002" t="s">
        <v>1081</v>
      </c>
      <c r="D283" s="1004"/>
      <c r="E283" s="1004"/>
      <c r="F283" s="1004"/>
      <c r="G283" s="1004"/>
      <c r="H283" s="1004"/>
      <c r="I283" s="1004"/>
      <c r="J283" s="1004"/>
      <c r="K283" s="1004"/>
      <c r="L283" s="1004"/>
      <c r="M283" s="1004"/>
      <c r="N283" s="1004"/>
      <c r="O283" s="62" t="s">
        <v>2763</v>
      </c>
      <c r="P283" s="1166" t="s">
        <v>3933</v>
      </c>
      <c r="Q283" s="234"/>
    </row>
    <row r="284" spans="1:31" ht="11.25" customHeight="1">
      <c r="B284" s="191" t="s">
        <v>2921</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1933</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3325</v>
      </c>
      <c r="C290" s="1009"/>
      <c r="D290" s="1009"/>
      <c r="E290" s="1009"/>
      <c r="F290" s="1009"/>
      <c r="G290" s="1009"/>
      <c r="H290" s="740"/>
      <c r="I290" s="740"/>
      <c r="J290" s="740"/>
      <c r="K290" s="740"/>
      <c r="L290" s="740"/>
      <c r="M290" s="740"/>
      <c r="O290" s="180" t="s">
        <v>2923</v>
      </c>
      <c r="P290" s="989"/>
      <c r="Q290" s="990"/>
    </row>
    <row r="291" spans="1:256" ht="11.45" customHeight="1">
      <c r="B291" s="195" t="s">
        <v>3382</v>
      </c>
      <c r="P291" s="1166" t="s">
        <v>3926</v>
      </c>
      <c r="Q291" s="234"/>
    </row>
    <row r="292" spans="1:256" ht="12" customHeight="1">
      <c r="B292" s="197" t="s">
        <v>3326</v>
      </c>
      <c r="C292" s="197"/>
      <c r="D292" s="197"/>
      <c r="E292" s="197"/>
      <c r="F292" s="197"/>
      <c r="G292" s="197"/>
      <c r="H292" s="197"/>
      <c r="I292" s="197"/>
      <c r="J292" s="197"/>
      <c r="K292" s="197"/>
      <c r="L292" s="197"/>
      <c r="P292" s="1166" t="s">
        <v>3933</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01" t="s">
        <v>1082</v>
      </c>
      <c r="D294" s="1001"/>
      <c r="E294" s="1001"/>
      <c r="F294" s="1001"/>
      <c r="G294" s="1001"/>
      <c r="H294" s="1001"/>
      <c r="I294" s="1001"/>
      <c r="J294" s="1001"/>
      <c r="K294" s="1001"/>
      <c r="L294" s="1001"/>
      <c r="M294" s="1001"/>
      <c r="N294" s="1001"/>
      <c r="O294" s="221" t="s">
        <v>3060</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3063</v>
      </c>
      <c r="C296" s="1010" t="s">
        <v>675</v>
      </c>
      <c r="D296" s="1010"/>
      <c r="E296" s="1010"/>
      <c r="F296" s="1010"/>
      <c r="G296" s="1010"/>
      <c r="H296" s="1010"/>
      <c r="I296" s="1010"/>
      <c r="J296" s="1010"/>
      <c r="K296" s="1010"/>
      <c r="L296" s="1010"/>
      <c r="M296" s="1010"/>
      <c r="O296" s="221" t="s">
        <v>3063</v>
      </c>
      <c r="P296" s="1166" t="s">
        <v>3933</v>
      </c>
      <c r="Q296" s="234"/>
    </row>
    <row r="297" spans="1:256" ht="24" customHeight="1">
      <c r="A297" s="194"/>
      <c r="C297" s="296" t="s">
        <v>2765</v>
      </c>
      <c r="D297" s="297" t="s">
        <v>1767</v>
      </c>
      <c r="E297" s="181"/>
      <c r="F297" s="181"/>
      <c r="G297" s="1253" t="s">
        <v>2168</v>
      </c>
      <c r="H297" s="1254"/>
      <c r="I297" s="1254"/>
      <c r="J297" s="1254"/>
      <c r="K297" s="1254"/>
      <c r="L297" s="1254"/>
      <c r="M297" s="1254"/>
      <c r="N297" s="1255"/>
      <c r="O297" s="301" t="s">
        <v>2765</v>
      </c>
      <c r="P297" s="1252" t="s">
        <v>3933</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3933</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3933</v>
      </c>
      <c r="Q299" s="355"/>
    </row>
    <row r="300" spans="1:256" ht="24" customHeight="1">
      <c r="A300" s="194"/>
      <c r="C300" s="296" t="s">
        <v>2767</v>
      </c>
      <c r="D300" s="1003" t="s">
        <v>1768</v>
      </c>
      <c r="E300" s="1004"/>
      <c r="F300" s="1005"/>
      <c r="G300" s="1159" t="s">
        <v>3370</v>
      </c>
      <c r="H300" s="1261"/>
      <c r="I300" s="1261"/>
      <c r="J300" s="1261"/>
      <c r="K300" s="1261"/>
      <c r="L300" s="1261"/>
      <c r="M300" s="1261"/>
      <c r="N300" s="1262"/>
      <c r="O300" s="301" t="s">
        <v>2767</v>
      </c>
      <c r="P300" s="1252" t="s">
        <v>3933</v>
      </c>
      <c r="Q300" s="353"/>
    </row>
    <row r="301" spans="1:256" ht="12.6" customHeight="1">
      <c r="A301" s="194"/>
      <c r="C301" s="296" t="s">
        <v>3571</v>
      </c>
      <c r="D301" s="1003" t="s">
        <v>1770</v>
      </c>
      <c r="E301" s="1003"/>
      <c r="F301" s="1030"/>
      <c r="G301" s="1263" t="s">
        <v>2278</v>
      </c>
      <c r="H301" s="1264"/>
      <c r="I301" s="1264"/>
      <c r="J301" s="1264"/>
      <c r="K301" s="1264"/>
      <c r="L301" s="1264"/>
      <c r="M301" s="1264"/>
      <c r="N301" s="1265"/>
      <c r="O301" s="301" t="s">
        <v>3571</v>
      </c>
      <c r="P301" s="1266" t="s">
        <v>3933</v>
      </c>
      <c r="Q301" s="356"/>
    </row>
    <row r="302" spans="1:256" ht="12.6" customHeight="1">
      <c r="A302" s="194"/>
      <c r="C302" s="296"/>
      <c r="D302" s="1003"/>
      <c r="E302" s="1003"/>
      <c r="F302" s="1030"/>
      <c r="G302" s="1155" t="s">
        <v>3215</v>
      </c>
      <c r="H302" s="1267"/>
      <c r="I302" s="1267"/>
      <c r="J302" s="1267"/>
      <c r="K302" s="1267"/>
      <c r="L302" s="1267"/>
      <c r="M302" s="1267"/>
      <c r="N302" s="1268"/>
      <c r="P302" s="1269" t="s">
        <v>3933</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2921</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1933</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3122</v>
      </c>
      <c r="C311" s="742"/>
      <c r="D311" s="740"/>
      <c r="E311" s="740"/>
      <c r="F311" s="740"/>
      <c r="G311" s="740"/>
      <c r="H311" s="740"/>
      <c r="O311" s="180" t="s">
        <v>2923</v>
      </c>
      <c r="P311" s="989"/>
      <c r="Q311" s="990"/>
    </row>
    <row r="312" spans="1:31" ht="3" customHeight="1"/>
    <row r="313" spans="1:31" ht="11.45" customHeight="1">
      <c r="B313" s="195" t="s">
        <v>3514</v>
      </c>
      <c r="P313" s="1166" t="s">
        <v>3933</v>
      </c>
      <c r="Q313" s="234"/>
    </row>
    <row r="314" spans="1:31" ht="11.45" customHeight="1">
      <c r="B314" s="195" t="s">
        <v>3515</v>
      </c>
      <c r="P314" s="1166" t="s">
        <v>3933</v>
      </c>
      <c r="Q314" s="234"/>
    </row>
    <row r="315" spans="1:31" ht="11.45" customHeight="1">
      <c r="B315" s="195" t="s">
        <v>925</v>
      </c>
      <c r="L315" s="1270" t="s">
        <v>3988</v>
      </c>
      <c r="M315" s="1271"/>
      <c r="N315" s="1271"/>
      <c r="O315" s="1272"/>
      <c r="P315" s="1166" t="s">
        <v>3933</v>
      </c>
      <c r="Q315" s="234"/>
    </row>
    <row r="316" spans="1:31" ht="11.45" customHeight="1">
      <c r="B316" s="690" t="s">
        <v>3516</v>
      </c>
      <c r="L316" s="1006"/>
      <c r="M316" s="1007"/>
      <c r="N316" s="1007"/>
      <c r="O316" s="1008"/>
    </row>
    <row r="317" spans="1:31" ht="4.1500000000000004" customHeight="1">
      <c r="A317" s="189"/>
      <c r="C317" s="190"/>
    </row>
    <row r="318" spans="1:31" ht="11.25" customHeight="1">
      <c r="B318" s="191" t="s">
        <v>2921</v>
      </c>
      <c r="D318" s="191"/>
      <c r="E318" s="191"/>
      <c r="F318" s="191"/>
      <c r="G318" s="191"/>
      <c r="H318" s="50"/>
      <c r="I318" s="179"/>
      <c r="J318" s="179"/>
      <c r="K318" s="179"/>
      <c r="L318" s="738"/>
      <c r="M318" s="738"/>
      <c r="N318" s="738"/>
      <c r="O318" s="738"/>
      <c r="P318" s="738"/>
      <c r="Q318" s="63"/>
    </row>
    <row r="319" spans="1:31" ht="13.15" customHeight="1">
      <c r="A319" s="1152" t="s">
        <v>4027</v>
      </c>
      <c r="B319" s="1153"/>
      <c r="C319" s="1153"/>
      <c r="D319" s="1153"/>
      <c r="E319" s="1153"/>
      <c r="F319" s="1153"/>
      <c r="G319" s="1153"/>
      <c r="H319" s="1153"/>
      <c r="I319" s="1153"/>
      <c r="J319" s="1153"/>
      <c r="K319" s="1153"/>
      <c r="L319" s="1153"/>
      <c r="M319" s="1153"/>
      <c r="N319" s="1153"/>
      <c r="O319" s="1153"/>
      <c r="P319" s="1153"/>
      <c r="Q319" s="1154"/>
      <c r="R319" s="1029" t="s">
        <v>1933</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471</v>
      </c>
      <c r="C327" s="5"/>
      <c r="D327" s="118"/>
      <c r="E327" s="740"/>
      <c r="F327" s="740"/>
      <c r="G327" s="740"/>
      <c r="H327" s="740"/>
      <c r="I327" s="740"/>
      <c r="J327" s="740"/>
      <c r="K327" s="740"/>
      <c r="L327" s="740"/>
      <c r="M327" s="740"/>
      <c r="O327" s="180" t="s">
        <v>2923</v>
      </c>
      <c r="P327" s="989"/>
      <c r="Q327" s="990"/>
    </row>
    <row r="328" spans="1:31" ht="3" customHeight="1"/>
    <row r="329" spans="1:31" ht="22.15" customHeight="1">
      <c r="B329" s="192" t="s">
        <v>3060</v>
      </c>
      <c r="C329" s="1002" t="s">
        <v>2544</v>
      </c>
      <c r="D329" s="1002"/>
      <c r="E329" s="1002"/>
      <c r="F329" s="1002"/>
      <c r="G329" s="1002"/>
      <c r="H329" s="1002"/>
      <c r="I329" s="1002"/>
      <c r="J329" s="1002"/>
      <c r="K329" s="1002"/>
      <c r="L329" s="1002"/>
      <c r="M329" s="1002"/>
      <c r="N329" s="1002"/>
      <c r="O329" s="221" t="s">
        <v>3060</v>
      </c>
      <c r="P329" s="1166" t="s">
        <v>3933</v>
      </c>
      <c r="Q329" s="234"/>
    </row>
    <row r="330" spans="1:31" ht="11.45" customHeight="1">
      <c r="B330" s="192" t="s">
        <v>3063</v>
      </c>
      <c r="C330" s="1002" t="s">
        <v>356</v>
      </c>
      <c r="D330" s="1002"/>
      <c r="E330" s="1002"/>
      <c r="F330" s="1002"/>
      <c r="G330" s="1002"/>
      <c r="H330" s="1002"/>
      <c r="I330" s="1002"/>
      <c r="J330" s="1002"/>
      <c r="K330" s="1002"/>
      <c r="L330" s="1002"/>
      <c r="M330" s="740"/>
      <c r="O330" s="221" t="s">
        <v>3063</v>
      </c>
      <c r="P330" s="1166" t="s">
        <v>3926</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3933</v>
      </c>
      <c r="Q331" s="234"/>
    </row>
    <row r="332" spans="1:31" ht="22.15" customHeight="1">
      <c r="B332" s="192" t="s">
        <v>3212</v>
      </c>
      <c r="C332" s="1002" t="s">
        <v>1059</v>
      </c>
      <c r="D332" s="1002"/>
      <c r="E332" s="1002"/>
      <c r="F332" s="1002"/>
      <c r="G332" s="1002"/>
      <c r="H332" s="1002"/>
      <c r="I332" s="1002"/>
      <c r="J332" s="1002"/>
      <c r="K332" s="1002"/>
      <c r="L332" s="1002"/>
      <c r="M332" s="1002"/>
      <c r="N332" s="1002"/>
      <c r="O332" s="221" t="s">
        <v>3212</v>
      </c>
      <c r="P332" s="1166" t="s">
        <v>3933</v>
      </c>
      <c r="Q332" s="234"/>
    </row>
    <row r="333" spans="1:31" ht="11.25" customHeight="1">
      <c r="B333" s="191" t="s">
        <v>2921</v>
      </c>
      <c r="D333" s="191"/>
      <c r="E333" s="191"/>
      <c r="F333" s="191"/>
      <c r="G333" s="191"/>
      <c r="H333" s="50"/>
      <c r="I333" s="179"/>
      <c r="J333" s="179"/>
      <c r="K333" s="179"/>
      <c r="L333" s="738"/>
      <c r="M333" s="738"/>
      <c r="N333" s="738"/>
      <c r="O333" s="738"/>
      <c r="P333" s="738"/>
      <c r="Q333" s="63"/>
    </row>
    <row r="334" spans="1:31" ht="11.45" customHeight="1">
      <c r="A334" s="1152" t="s">
        <v>3997</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1554</v>
      </c>
      <c r="C341" s="5"/>
      <c r="D341" s="5"/>
      <c r="E341" s="5"/>
      <c r="F341" s="5"/>
      <c r="G341" s="5"/>
      <c r="H341" s="740"/>
      <c r="I341" s="740"/>
      <c r="J341" s="740"/>
      <c r="K341" s="740"/>
      <c r="L341" s="740"/>
      <c r="M341" s="740"/>
      <c r="O341" s="180" t="s">
        <v>2923</v>
      </c>
      <c r="P341" s="989"/>
      <c r="Q341" s="990"/>
    </row>
    <row r="342" spans="1:31" ht="12" customHeight="1">
      <c r="B342" s="57" t="s">
        <v>3060</v>
      </c>
      <c r="C342" s="160" t="s">
        <v>2084</v>
      </c>
      <c r="D342" s="746"/>
      <c r="E342" s="746"/>
      <c r="F342" s="746"/>
      <c r="G342" s="746"/>
      <c r="H342" s="746"/>
      <c r="I342" s="52"/>
      <c r="J342" s="62" t="s">
        <v>3060</v>
      </c>
      <c r="K342" s="1224"/>
      <c r="L342" s="1225"/>
      <c r="M342" s="1225"/>
      <c r="N342" s="1225"/>
      <c r="O342" s="1226"/>
      <c r="P342" s="1166" t="s">
        <v>3926</v>
      </c>
      <c r="Q342" s="234"/>
    </row>
    <row r="343" spans="1:31" ht="24" customHeight="1">
      <c r="B343" s="192" t="s">
        <v>3063</v>
      </c>
      <c r="C343" s="975" t="s">
        <v>2907</v>
      </c>
      <c r="D343" s="975"/>
      <c r="E343" s="975"/>
      <c r="F343" s="975"/>
      <c r="G343" s="975"/>
      <c r="H343" s="975"/>
      <c r="I343" s="975"/>
      <c r="J343" s="975"/>
      <c r="K343" s="975"/>
      <c r="L343" s="975"/>
      <c r="M343" s="975"/>
      <c r="O343" s="221" t="s">
        <v>3063</v>
      </c>
      <c r="P343" s="1252"/>
      <c r="Q343" s="234"/>
    </row>
    <row r="344" spans="1:31" ht="12" customHeight="1">
      <c r="B344" s="57" t="s">
        <v>1239</v>
      </c>
      <c r="C344" s="65" t="s">
        <v>1555</v>
      </c>
      <c r="D344" s="65"/>
      <c r="E344" s="65"/>
      <c r="F344" s="65"/>
      <c r="G344" s="65"/>
      <c r="H344" s="65"/>
      <c r="I344" s="65"/>
      <c r="J344" s="65"/>
      <c r="K344" s="65"/>
      <c r="L344" s="40"/>
      <c r="M344" s="40"/>
      <c r="O344" s="62" t="s">
        <v>1239</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2763</v>
      </c>
      <c r="C346" s="1002" t="s">
        <v>430</v>
      </c>
      <c r="D346" s="1002"/>
      <c r="E346" s="1002"/>
      <c r="F346" s="1002"/>
      <c r="G346" s="1002"/>
      <c r="H346" s="1002"/>
      <c r="I346" s="1002"/>
      <c r="J346" s="1002"/>
      <c r="K346" s="1002"/>
      <c r="L346" s="1002"/>
      <c r="M346" s="1002"/>
      <c r="N346" s="1002"/>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38"/>
      <c r="M348" s="738"/>
      <c r="N348" s="738"/>
      <c r="O348" s="738"/>
      <c r="P348" s="738"/>
      <c r="Q348" s="63"/>
    </row>
    <row r="349" spans="1:31" ht="11.45" customHeight="1">
      <c r="A349" s="1159" t="s">
        <v>4028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3755</v>
      </c>
      <c r="C353" s="5"/>
      <c r="D353" s="5"/>
      <c r="E353" s="5"/>
      <c r="F353" s="5"/>
      <c r="G353" s="5"/>
      <c r="H353" s="740"/>
      <c r="I353" s="740"/>
      <c r="J353" s="740"/>
      <c r="O353" s="180" t="s">
        <v>2923</v>
      </c>
      <c r="P353" s="989"/>
      <c r="Q353" s="990"/>
    </row>
    <row r="354" spans="1:31" ht="11.45" customHeight="1">
      <c r="B354" s="57" t="s">
        <v>3060</v>
      </c>
      <c r="C354" s="160" t="s">
        <v>1658</v>
      </c>
      <c r="D354" s="746"/>
      <c r="E354" s="746"/>
      <c r="F354" s="746"/>
      <c r="G354" s="746"/>
      <c r="H354" s="746"/>
      <c r="I354" s="52"/>
      <c r="J354" s="62" t="s">
        <v>3060</v>
      </c>
      <c r="K354" s="1224"/>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1002" t="s">
        <v>636</v>
      </c>
      <c r="D358" s="1002"/>
      <c r="E358" s="1002"/>
      <c r="F358" s="1002"/>
      <c r="G358" s="1002"/>
      <c r="H358" s="1002"/>
      <c r="I358" s="1002"/>
      <c r="J358" s="1002"/>
      <c r="K358" s="1002"/>
      <c r="L358" s="1002"/>
      <c r="M358" s="1002"/>
      <c r="N358" s="1002"/>
      <c r="O358" s="221" t="s">
        <v>2763</v>
      </c>
      <c r="P358" s="1166"/>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8"/>
      <c r="M361" s="738"/>
      <c r="N361" s="738"/>
      <c r="O361" s="738"/>
      <c r="P361" s="738"/>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1083</v>
      </c>
      <c r="C366" s="5"/>
      <c r="D366" s="118"/>
      <c r="E366" s="740"/>
      <c r="F366" s="740"/>
      <c r="G366" s="740"/>
      <c r="H366" s="740"/>
      <c r="I366" s="740"/>
      <c r="J366" s="740"/>
      <c r="K366" s="740"/>
      <c r="L366" s="740"/>
      <c r="M366" s="740"/>
      <c r="O366" s="180" t="s">
        <v>2923</v>
      </c>
      <c r="P366" s="989"/>
      <c r="Q366" s="990"/>
    </row>
    <row r="367" spans="1:31" s="2" customFormat="1" ht="23.45" customHeight="1">
      <c r="B367" s="192" t="s">
        <v>3060</v>
      </c>
      <c r="C367" s="1002" t="s">
        <v>201</v>
      </c>
      <c r="D367" s="1002"/>
      <c r="E367" s="1002"/>
      <c r="F367" s="1002"/>
      <c r="G367" s="1002"/>
      <c r="H367" s="1002"/>
      <c r="I367" s="1002"/>
      <c r="J367" s="1002"/>
      <c r="K367" s="1002"/>
      <c r="L367" s="1002"/>
      <c r="M367" s="221" t="s">
        <v>3060</v>
      </c>
      <c r="N367" s="1273" t="s">
        <v>3989</v>
      </c>
      <c r="O367" s="1274"/>
      <c r="P367" s="1040" t="s">
        <v>2801</v>
      </c>
      <c r="Q367" s="1041"/>
    </row>
    <row r="368" spans="1:31" s="2" customFormat="1" ht="12" customHeight="1">
      <c r="B368" s="57" t="s">
        <v>3063</v>
      </c>
      <c r="C368" s="157" t="s">
        <v>2</v>
      </c>
      <c r="D368" s="204"/>
      <c r="E368" s="204"/>
      <c r="G368" s="62" t="s">
        <v>3063</v>
      </c>
      <c r="H368" s="1236" t="s">
        <v>3990</v>
      </c>
      <c r="I368" s="1237"/>
      <c r="J368" s="1237"/>
      <c r="K368" s="1237"/>
      <c r="L368" s="1237"/>
      <c r="M368" s="1237"/>
      <c r="N368" s="1237"/>
      <c r="O368" s="1238"/>
      <c r="P368" s="1166" t="s">
        <v>3933</v>
      </c>
      <c r="Q368" s="234"/>
    </row>
    <row r="369" spans="1:31" s="2" customFormat="1" ht="12" customHeight="1">
      <c r="B369" s="57" t="s">
        <v>1239</v>
      </c>
      <c r="C369" s="40" t="s">
        <v>2126</v>
      </c>
      <c r="D369" s="12"/>
      <c r="E369" s="12"/>
      <c r="F369" s="12"/>
      <c r="G369" s="8"/>
      <c r="H369" s="8"/>
      <c r="I369" s="40"/>
      <c r="K369" s="8"/>
      <c r="L369" s="8"/>
      <c r="M369" s="8"/>
      <c r="O369" s="62" t="s">
        <v>1239</v>
      </c>
      <c r="P369" s="1166" t="s">
        <v>3933</v>
      </c>
      <c r="Q369" s="234"/>
    </row>
    <row r="370" spans="1:31" ht="11.25" customHeight="1">
      <c r="B370" s="191" t="s">
        <v>2921</v>
      </c>
      <c r="D370" s="191"/>
      <c r="E370" s="191"/>
      <c r="F370" s="191"/>
      <c r="G370" s="191"/>
      <c r="H370" s="50"/>
      <c r="I370" s="179"/>
      <c r="J370" s="179"/>
      <c r="K370" s="179"/>
      <c r="L370" s="738"/>
      <c r="M370" s="738"/>
      <c r="N370" s="738"/>
      <c r="O370" s="738"/>
      <c r="P370" s="738"/>
      <c r="Q370" s="63"/>
    </row>
    <row r="371" spans="1:31" ht="11.45" customHeight="1">
      <c r="A371" s="1152" t="s">
        <v>4029</v>
      </c>
      <c r="B371" s="1153"/>
      <c r="C371" s="1153"/>
      <c r="D371" s="1153"/>
      <c r="E371" s="1153"/>
      <c r="F371" s="1153"/>
      <c r="G371" s="1153"/>
      <c r="H371" s="1153"/>
      <c r="I371" s="1153"/>
      <c r="J371" s="1153"/>
      <c r="K371" s="1153"/>
      <c r="L371" s="1153"/>
      <c r="M371" s="1153"/>
      <c r="N371" s="1153"/>
      <c r="O371" s="1153"/>
      <c r="P371" s="1153"/>
      <c r="Q371" s="1154"/>
      <c r="R371" s="1029" t="s">
        <v>1933</v>
      </c>
      <c r="S371" s="1029"/>
      <c r="U371" s="185"/>
      <c r="V371" s="185"/>
      <c r="W371" s="185"/>
      <c r="X371" s="185"/>
      <c r="Y371" s="185"/>
      <c r="Z371" s="185"/>
      <c r="AA371" s="185"/>
      <c r="AB371" s="185"/>
      <c r="AC371" s="185"/>
      <c r="AD371" s="185"/>
      <c r="AE371" s="186"/>
    </row>
    <row r="372" spans="1:31" ht="11.45" customHeight="1">
      <c r="A372" s="1155" t="s">
        <v>4030</v>
      </c>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2530</v>
      </c>
      <c r="C378" s="5"/>
      <c r="D378" s="5"/>
      <c r="E378" s="740"/>
      <c r="F378" s="190" t="s">
        <v>1058</v>
      </c>
      <c r="G378" s="740"/>
      <c r="H378" s="740"/>
      <c r="I378" s="740"/>
      <c r="J378" s="740"/>
      <c r="K378" s="740"/>
      <c r="L378" s="740"/>
      <c r="M378" s="740"/>
      <c r="O378" s="180" t="s">
        <v>2923</v>
      </c>
      <c r="P378" s="989"/>
      <c r="Q378" s="1039"/>
    </row>
    <row r="379" spans="1:31" ht="12" customHeight="1">
      <c r="A379" s="194"/>
      <c r="B379" s="57" t="s">
        <v>3060</v>
      </c>
      <c r="C379" s="65" t="s">
        <v>2127</v>
      </c>
      <c r="D379" s="743"/>
      <c r="E379" s="743"/>
      <c r="H379" s="190"/>
      <c r="O379" s="62" t="s">
        <v>3060</v>
      </c>
      <c r="P379" s="1166" t="s">
        <v>3926</v>
      </c>
      <c r="Q379" s="234"/>
    </row>
    <row r="380" spans="1:31" ht="12" customHeight="1">
      <c r="A380" s="194"/>
      <c r="B380" s="57" t="s">
        <v>3063</v>
      </c>
      <c r="C380" s="65" t="s">
        <v>1242</v>
      </c>
      <c r="D380" s="743"/>
      <c r="E380" s="743"/>
      <c r="O380" s="62" t="s">
        <v>3063</v>
      </c>
      <c r="P380" s="1166" t="s">
        <v>3926</v>
      </c>
      <c r="Q380" s="234"/>
    </row>
    <row r="381" spans="1:31" ht="12" customHeight="1">
      <c r="A381" s="194"/>
      <c r="B381" s="57" t="s">
        <v>1239</v>
      </c>
      <c r="C381" s="65" t="s">
        <v>1243</v>
      </c>
      <c r="D381" s="743"/>
      <c r="E381" s="743"/>
      <c r="O381" s="62" t="s">
        <v>1239</v>
      </c>
      <c r="P381" s="1166" t="s">
        <v>3926</v>
      </c>
      <c r="Q381" s="234"/>
    </row>
    <row r="382" spans="1:31" ht="12" customHeight="1">
      <c r="A382" s="194"/>
      <c r="B382" s="57" t="s">
        <v>3212</v>
      </c>
      <c r="C382" s="65" t="s">
        <v>878</v>
      </c>
      <c r="E382" s="190"/>
      <c r="O382" s="62" t="s">
        <v>3212</v>
      </c>
      <c r="P382" s="1166" t="s">
        <v>3926</v>
      </c>
      <c r="Q382" s="234"/>
    </row>
    <row r="383" spans="1:31" ht="12" customHeight="1">
      <c r="B383" s="57" t="s">
        <v>2763</v>
      </c>
      <c r="C383" s="65" t="s">
        <v>3175</v>
      </c>
      <c r="E383" s="190"/>
      <c r="G383" s="62" t="s">
        <v>2763</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3756</v>
      </c>
      <c r="C389" s="1009"/>
      <c r="D389" s="1009"/>
      <c r="E389" s="1009"/>
      <c r="F389" s="1009"/>
      <c r="G389" s="1009"/>
      <c r="H389" s="740"/>
      <c r="I389" s="740"/>
      <c r="J389" s="740"/>
      <c r="K389" s="740"/>
      <c r="L389" s="740"/>
      <c r="M389" s="740"/>
      <c r="O389" s="180" t="s">
        <v>2923</v>
      </c>
      <c r="P389" s="989"/>
      <c r="Q389" s="1039"/>
    </row>
    <row r="390" spans="1:31" ht="23.45" customHeight="1">
      <c r="A390" s="189"/>
      <c r="B390" s="192" t="s">
        <v>3060</v>
      </c>
      <c r="C390" s="1002" t="s">
        <v>908</v>
      </c>
      <c r="D390" s="1002"/>
      <c r="E390" s="1002"/>
      <c r="F390" s="1002"/>
      <c r="G390" s="1002"/>
      <c r="H390" s="1002"/>
      <c r="I390" s="1002"/>
      <c r="J390" s="1002"/>
      <c r="K390" s="1002"/>
      <c r="L390" s="1002"/>
      <c r="M390" s="1002"/>
      <c r="N390" s="1002"/>
      <c r="O390" s="221" t="s">
        <v>3060</v>
      </c>
      <c r="P390" s="1166" t="s">
        <v>3977</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3933</v>
      </c>
      <c r="Q391" s="234"/>
    </row>
    <row r="392" spans="1:31" ht="11.25" customHeight="1">
      <c r="B392" s="131" t="s">
        <v>2921</v>
      </c>
      <c r="D392" s="131"/>
      <c r="E392" s="131"/>
      <c r="F392" s="131"/>
      <c r="G392" s="131"/>
      <c r="H392" s="50"/>
      <c r="I392" s="179"/>
      <c r="J392" s="179"/>
      <c r="K392" s="187" t="s">
        <v>2922</v>
      </c>
      <c r="L392" s="738"/>
      <c r="M392" s="738"/>
      <c r="N392" s="738"/>
      <c r="O392" s="237"/>
      <c r="P392" s="738"/>
      <c r="Q392" s="63"/>
    </row>
    <row r="393" spans="1:31" ht="11.45" customHeight="1">
      <c r="A393" s="1159" t="s">
        <v>4031</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2005</v>
      </c>
      <c r="C395" s="1009"/>
      <c r="D395" s="1009"/>
      <c r="E395" s="1009"/>
      <c r="F395" s="1009"/>
      <c r="G395" s="1009"/>
      <c r="H395" s="740"/>
      <c r="I395" s="740"/>
      <c r="J395" s="740"/>
      <c r="K395" s="740"/>
      <c r="L395" s="740"/>
      <c r="M395" s="740"/>
      <c r="O395" s="180" t="s">
        <v>2923</v>
      </c>
      <c r="P395" s="989"/>
      <c r="Q395" s="1039"/>
    </row>
    <row r="396" spans="1:31" ht="12" customHeight="1">
      <c r="A396" s="52"/>
      <c r="B396" s="57" t="s">
        <v>3060</v>
      </c>
      <c r="C396" s="49" t="s">
        <v>1244</v>
      </c>
      <c r="D396" s="52"/>
      <c r="E396" s="52"/>
      <c r="F396" s="52"/>
      <c r="G396" s="52"/>
      <c r="H396" s="52"/>
      <c r="I396" s="52"/>
      <c r="J396" s="52"/>
      <c r="K396" s="52"/>
      <c r="L396" s="52"/>
      <c r="M396" s="52"/>
      <c r="N396" s="52"/>
      <c r="O396" s="62" t="s">
        <v>3060</v>
      </c>
      <c r="P396" s="1166" t="s">
        <v>3926</v>
      </c>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t="s">
        <v>3926</v>
      </c>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5" t="s">
        <v>3313</v>
      </c>
      <c r="D400" s="975"/>
      <c r="E400" s="975"/>
      <c r="F400" s="975"/>
      <c r="G400" s="975"/>
      <c r="H400" s="975"/>
      <c r="I400" s="975"/>
      <c r="J400" s="975"/>
      <c r="K400" s="975"/>
      <c r="L400" s="975"/>
      <c r="M400" s="975"/>
      <c r="N400" s="975"/>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8"/>
      <c r="M412" s="738"/>
      <c r="N412" s="738"/>
      <c r="O412" s="738"/>
      <c r="P412" s="738"/>
      <c r="Q412" s="63"/>
    </row>
    <row r="413" spans="1:31" ht="12" customHeight="1">
      <c r="A413" s="1152" t="s">
        <v>3991</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3123</v>
      </c>
      <c r="C420" s="5"/>
      <c r="D420" s="118"/>
      <c r="E420" s="740"/>
      <c r="F420" s="740"/>
      <c r="G420" s="740"/>
      <c r="H420" s="740"/>
      <c r="O420" s="180" t="s">
        <v>2923</v>
      </c>
      <c r="P420" s="989"/>
      <c r="Q420" s="990"/>
    </row>
    <row r="421" spans="1:31" ht="13.15" customHeight="1">
      <c r="B421" s="57" t="s">
        <v>3060</v>
      </c>
      <c r="C421" s="49" t="s">
        <v>888</v>
      </c>
      <c r="D421" s="52"/>
      <c r="E421" s="52"/>
      <c r="F421" s="52"/>
      <c r="G421" s="52"/>
      <c r="H421" s="52"/>
      <c r="I421" s="52"/>
      <c r="J421" s="52"/>
      <c r="K421" s="52"/>
      <c r="L421" s="52"/>
      <c r="M421" s="52"/>
      <c r="O421" s="62" t="s">
        <v>3060</v>
      </c>
      <c r="P421" s="1166" t="s">
        <v>3977</v>
      </c>
      <c r="Q421" s="234"/>
    </row>
    <row r="422" spans="1:31" ht="13.15" customHeight="1">
      <c r="B422" s="57" t="s">
        <v>3063</v>
      </c>
      <c r="C422" s="49" t="s">
        <v>889</v>
      </c>
      <c r="D422" s="52"/>
      <c r="E422" s="52"/>
      <c r="F422" s="52"/>
      <c r="G422" s="52"/>
      <c r="H422" s="52"/>
      <c r="I422" s="52"/>
      <c r="J422" s="52"/>
      <c r="K422" s="52"/>
      <c r="L422" s="52"/>
      <c r="M422" s="52"/>
      <c r="O422" s="62" t="s">
        <v>3063</v>
      </c>
      <c r="P422" s="1166" t="s">
        <v>3977</v>
      </c>
      <c r="Q422" s="234"/>
    </row>
    <row r="423" spans="1:31" ht="24" customHeight="1">
      <c r="B423" s="192" t="s">
        <v>1239</v>
      </c>
      <c r="C423" s="1014" t="s">
        <v>890</v>
      </c>
      <c r="D423" s="1014"/>
      <c r="E423" s="1014"/>
      <c r="F423" s="1014"/>
      <c r="G423" s="1014"/>
      <c r="H423" s="1014"/>
      <c r="I423" s="1014"/>
      <c r="J423" s="1014"/>
      <c r="K423" s="1014"/>
      <c r="L423" s="1014"/>
      <c r="M423" s="1014"/>
      <c r="N423" s="1014"/>
      <c r="O423" s="221" t="s">
        <v>1239</v>
      </c>
      <c r="P423" s="1252" t="s">
        <v>3977</v>
      </c>
      <c r="Q423" s="353"/>
    </row>
    <row r="424" spans="1:31" ht="11.25" customHeight="1">
      <c r="B424" s="191" t="s">
        <v>2921</v>
      </c>
      <c r="D424" s="191"/>
      <c r="E424" s="191"/>
      <c r="F424" s="191"/>
      <c r="G424" s="191"/>
      <c r="H424" s="50"/>
      <c r="I424" s="179"/>
      <c r="J424" s="179"/>
      <c r="K424" s="179"/>
      <c r="L424" s="738"/>
      <c r="M424" s="738"/>
      <c r="N424" s="738"/>
      <c r="O424" s="738"/>
      <c r="P424" s="738"/>
      <c r="Q424" s="63"/>
    </row>
    <row r="425" spans="1:31" ht="11.45" customHeight="1">
      <c r="A425" s="1152" t="s">
        <v>3998</v>
      </c>
      <c r="B425" s="1153"/>
      <c r="C425" s="1153"/>
      <c r="D425" s="1153"/>
      <c r="E425" s="1153"/>
      <c r="F425" s="1153"/>
      <c r="G425" s="1153"/>
      <c r="H425" s="1153"/>
      <c r="I425" s="1153"/>
      <c r="J425" s="1153"/>
      <c r="K425" s="1153"/>
      <c r="L425" s="1153"/>
      <c r="M425" s="1153"/>
      <c r="N425" s="1153"/>
      <c r="O425" s="1153"/>
      <c r="P425" s="1153"/>
      <c r="Q425" s="1154"/>
      <c r="R425" s="1029" t="s">
        <v>1933</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1355</v>
      </c>
      <c r="C433" s="5"/>
      <c r="D433" s="118"/>
      <c r="E433" s="740"/>
      <c r="F433" s="740"/>
      <c r="G433" s="740"/>
      <c r="H433" s="740"/>
      <c r="I433" s="740"/>
      <c r="J433" s="740"/>
      <c r="K433" s="740"/>
      <c r="L433" s="740"/>
      <c r="M433" s="740"/>
      <c r="O433" s="180" t="s">
        <v>2923</v>
      </c>
      <c r="P433" s="989"/>
      <c r="Q433" s="990"/>
    </row>
    <row r="434" spans="1:31" ht="11.25" customHeight="1">
      <c r="A434" s="742"/>
      <c r="B434" s="191" t="s">
        <v>2921</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1933</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2821</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2863</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51" zoomScale="90" zoomScaleNormal="90" workbookViewId="0">
      <selection activeCell="C31" sqref="C3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2011-020 Heritage Vista Apartments, Milledgeville, Baldwin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11" t="s">
        <v>3895</v>
      </c>
      <c r="G10" s="40">
        <f>F17</f>
        <v>0</v>
      </c>
      <c r="H10" s="246" t="s">
        <v>321</v>
      </c>
      <c r="M10" s="7">
        <v>7</v>
      </c>
      <c r="N10" s="82" t="s">
        <v>3060</v>
      </c>
      <c r="O10" s="1151">
        <v>0</v>
      </c>
      <c r="P10" s="69"/>
    </row>
    <row r="11" spans="1:19" s="52" customFormat="1" ht="11.25" customHeight="1">
      <c r="A11" s="257" t="s">
        <v>3063</v>
      </c>
      <c r="B11" s="238" t="s">
        <v>1216</v>
      </c>
      <c r="D11" s="58"/>
      <c r="E11" s="58"/>
      <c r="F11" s="711" t="s">
        <v>3895</v>
      </c>
      <c r="G11" s="40">
        <f>K17</f>
        <v>0</v>
      </c>
      <c r="H11" s="246" t="s">
        <v>322</v>
      </c>
      <c r="J11" s="59"/>
      <c r="M11" s="7">
        <v>0</v>
      </c>
      <c r="N11" s="82" t="s">
        <v>3063</v>
      </c>
      <c r="O11" s="1151">
        <v>0</v>
      </c>
      <c r="P11" s="69"/>
      <c r="Q11" s="146"/>
    </row>
    <row r="12" spans="1:19" s="53" customFormat="1" ht="11.25" customHeight="1">
      <c r="A12" s="257" t="s">
        <v>1239</v>
      </c>
      <c r="B12" s="238" t="s">
        <v>3210</v>
      </c>
      <c r="D12" s="58"/>
      <c r="E12" s="58"/>
      <c r="F12" s="711" t="s">
        <v>3895</v>
      </c>
      <c r="G12" s="40">
        <f>P17</f>
        <v>0</v>
      </c>
      <c r="H12" s="246" t="s">
        <v>323</v>
      </c>
      <c r="J12" s="59"/>
      <c r="M12" s="7">
        <v>1</v>
      </c>
      <c r="N12" s="82" t="s">
        <v>1239</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1933</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6" t="s">
        <v>3639</v>
      </c>
      <c r="B17" s="1066"/>
      <c r="C17" s="1066"/>
      <c r="D17" s="1066"/>
      <c r="E17" s="83" t="s">
        <v>786</v>
      </c>
      <c r="F17" s="96">
        <f>SUM(F18:F29)</f>
        <v>0</v>
      </c>
      <c r="G17" s="1067" t="s">
        <v>3640</v>
      </c>
      <c r="H17" s="1066"/>
      <c r="I17" s="1066"/>
      <c r="J17" s="83" t="s">
        <v>786</v>
      </c>
      <c r="K17" s="96">
        <f>SUM(K18:K29)</f>
        <v>0</v>
      </c>
      <c r="L17" s="745"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1933</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13</v>
      </c>
      <c r="L32" s="82" t="s">
        <v>1940</v>
      </c>
      <c r="M32" s="148">
        <f>IF(OR('Part VI-Revenues &amp; Expenses'!$M$61="", 'Part VI-Revenues &amp; Expenses'!$M$61=0),"",J32/'Part VI-Revenues &amp; Expenses'!$M$61)</f>
        <v>0.20634920634920634</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4032</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c r="M43" s="7" t="s">
        <v>1901</v>
      </c>
      <c r="N43" s="252" t="s">
        <v>1239</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4033</v>
      </c>
      <c r="B46" s="1153"/>
      <c r="C46" s="1153"/>
      <c r="D46" s="1153"/>
      <c r="E46" s="1153"/>
      <c r="F46" s="1153"/>
      <c r="G46" s="1153"/>
      <c r="H46" s="1153"/>
      <c r="I46" s="1153"/>
      <c r="J46" s="1153"/>
      <c r="K46" s="1153"/>
      <c r="L46" s="1153"/>
      <c r="M46" s="1153"/>
      <c r="N46" s="1153"/>
      <c r="O46" s="1153"/>
      <c r="P46" s="1154"/>
      <c r="Q46" s="1029" t="s">
        <v>1933</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1933</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0</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v>0</v>
      </c>
      <c r="P56" s="89"/>
      <c r="R56" s="573"/>
    </row>
    <row r="57" spans="1:18" s="53" customFormat="1" ht="12.6" customHeight="1">
      <c r="A57" s="189" t="s">
        <v>3063</v>
      </c>
      <c r="B57" s="238" t="s">
        <v>1711</v>
      </c>
      <c r="E57" s="51"/>
      <c r="K57" s="58"/>
      <c r="L57" s="573" t="str">
        <f>IF(OR($O57=$M57,$O57=0,$O57=""),"","* * Check Score! * *")</f>
        <v/>
      </c>
      <c r="M57" s="3">
        <v>1</v>
      </c>
      <c r="N57" s="62" t="s">
        <v>3063</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v>0</v>
      </c>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v>0</v>
      </c>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3992</v>
      </c>
      <c r="J82" s="1171"/>
      <c r="K82" s="1171"/>
      <c r="L82" s="1172"/>
      <c r="M82" s="3">
        <v>3</v>
      </c>
      <c r="O82" s="96">
        <f>IF(OR(I82="Earth Craft Communities",I82="LEED-ND"),3,IF(OR(I82="Earth Craft House",I82="LEED for Homes",I82="EF Green Communities"),2,0))</f>
        <v>2</v>
      </c>
      <c r="P82" s="89"/>
      <c r="Q82" s="146" t="s">
        <v>652</v>
      </c>
    </row>
    <row r="83" spans="1:18" s="139" customFormat="1" ht="13.9" customHeight="1">
      <c r="A83" s="52"/>
      <c r="B83" s="1173" t="s">
        <v>2659</v>
      </c>
      <c r="C83" s="1057"/>
      <c r="D83" s="1057"/>
      <c r="E83" s="1057"/>
      <c r="F83" s="1057"/>
      <c r="G83" s="1057"/>
      <c r="H83" s="1057"/>
      <c r="I83" s="1057"/>
      <c r="J83" s="1057"/>
      <c r="K83" s="1057"/>
      <c r="L83" s="1057"/>
      <c r="M83" s="1057"/>
      <c r="N83" s="1"/>
      <c r="O83" s="1174" t="s">
        <v>3933</v>
      </c>
      <c r="P83" s="551"/>
    </row>
    <row r="84" spans="1:18" s="598" customFormat="1" ht="34.9" customHeight="1">
      <c r="B84" s="194" t="s">
        <v>3060</v>
      </c>
      <c r="C84" s="1053" t="s">
        <v>1570</v>
      </c>
      <c r="D84" s="1004"/>
      <c r="E84" s="1004"/>
      <c r="F84" s="1004"/>
      <c r="G84" s="1004"/>
      <c r="H84" s="1004"/>
      <c r="I84" s="1004"/>
      <c r="J84" s="1004"/>
      <c r="K84" s="1004"/>
      <c r="L84" s="1004"/>
      <c r="M84" s="698" t="str">
        <f>IF(AND($I$93="Stable Communities &lt; 10%",O84=""), "X","")</f>
        <v/>
      </c>
      <c r="N84" s="221" t="s">
        <v>3060</v>
      </c>
      <c r="O84" s="1175" t="s">
        <v>3977</v>
      </c>
      <c r="P84" s="703"/>
    </row>
    <row r="85" spans="1:18" s="598" customFormat="1" ht="34.9" customHeight="1">
      <c r="B85" s="194" t="s">
        <v>3063</v>
      </c>
      <c r="C85" s="1002" t="s">
        <v>1571</v>
      </c>
      <c r="D85" s="1004"/>
      <c r="E85" s="1004"/>
      <c r="F85" s="1004"/>
      <c r="G85" s="1004"/>
      <c r="H85" s="1004"/>
      <c r="I85" s="1004"/>
      <c r="J85" s="1004"/>
      <c r="K85" s="1004"/>
      <c r="L85" s="1004"/>
      <c r="M85" s="698" t="str">
        <f>IF(AND($I$93="Stable Communities &lt; 10%",O85=""), "X","")</f>
        <v/>
      </c>
      <c r="N85" s="221" t="s">
        <v>3063</v>
      </c>
      <c r="O85" s="1176" t="s">
        <v>3977</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4034</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3993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652</v>
      </c>
      <c r="R93" s="53"/>
    </row>
    <row r="94" spans="1:18" ht="12"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X</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t="s">
        <v>3933</v>
      </c>
      <c r="P97" s="354"/>
    </row>
    <row r="98" spans="1:16" ht="11.45" customHeight="1">
      <c r="B98" s="233" t="s">
        <v>3683</v>
      </c>
      <c r="C98" s="585" t="s">
        <v>3624</v>
      </c>
      <c r="E98" s="159"/>
      <c r="G98" s="137" t="s">
        <v>3625</v>
      </c>
      <c r="M98" s="590" t="str">
        <f>IF(AND($I$93="Stable Communities &lt; 10%",O98=""), "X","")</f>
        <v/>
      </c>
      <c r="N98" s="233" t="s">
        <v>3683</v>
      </c>
      <c r="O98" s="1174" t="s">
        <v>3933</v>
      </c>
      <c r="P98" s="551"/>
    </row>
    <row r="99" spans="1:16" ht="11.45" customHeight="1">
      <c r="B99" s="233" t="s">
        <v>3684</v>
      </c>
      <c r="C99" s="585" t="s">
        <v>2191</v>
      </c>
      <c r="E99" s="159"/>
      <c r="M99" s="590" t="str">
        <f>IF(AND($I$93="Stable Communities &lt; 10%",O99=""), "X","")</f>
        <v/>
      </c>
      <c r="N99" s="233" t="s">
        <v>3686</v>
      </c>
      <c r="O99" s="1184" t="s">
        <v>3933</v>
      </c>
      <c r="P99" s="355"/>
    </row>
    <row r="100" spans="1:16" ht="11.45" customHeight="1">
      <c r="A100" s="564" t="str">
        <f>IF($I$93="Stable Communities &lt; 20%", "X","")</f>
        <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t="s">
        <v>2254</v>
      </c>
      <c r="P101" s="354"/>
    </row>
    <row r="102" spans="1:16" ht="11.45" customHeight="1">
      <c r="B102" s="233" t="s">
        <v>3683</v>
      </c>
      <c r="C102" s="585" t="s">
        <v>3624</v>
      </c>
      <c r="E102" s="159"/>
      <c r="G102" s="137" t="s">
        <v>3625</v>
      </c>
      <c r="M102" s="590" t="str">
        <f>IF(AND($I$93="Stable Communities &lt; 20%",O102=""), "X","")</f>
        <v/>
      </c>
      <c r="N102" s="233" t="s">
        <v>3683</v>
      </c>
      <c r="O102" s="1174" t="s">
        <v>2254</v>
      </c>
      <c r="P102" s="551"/>
    </row>
    <row r="103" spans="1:16" ht="11.45" customHeight="1">
      <c r="B103" s="233" t="s">
        <v>3684</v>
      </c>
      <c r="C103" s="585" t="s">
        <v>2191</v>
      </c>
      <c r="E103" s="159"/>
      <c r="M103" s="590" t="str">
        <f>IF(AND($I$93="Stable Communities &lt; 20%",O103=""), "X","")</f>
        <v/>
      </c>
      <c r="N103" s="233" t="s">
        <v>3686</v>
      </c>
      <c r="O103" s="1184" t="s">
        <v>2254</v>
      </c>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t="s">
        <v>2254</v>
      </c>
      <c r="P106" s="354"/>
    </row>
    <row r="107" spans="1:16" ht="10.9" customHeight="1">
      <c r="B107" s="566" t="s">
        <v>3683</v>
      </c>
      <c r="C107" s="567" t="s">
        <v>915</v>
      </c>
      <c r="M107" s="589" t="str">
        <f>IF(AND($I$93="HOPE VI Initiative",O107=""), "X","")</f>
        <v/>
      </c>
      <c r="N107" s="233" t="s">
        <v>3683</v>
      </c>
      <c r="O107" s="1174" t="s">
        <v>2254</v>
      </c>
      <c r="P107" s="551"/>
    </row>
    <row r="108" spans="1:16" ht="10.9" customHeight="1">
      <c r="B108" s="566" t="s">
        <v>3684</v>
      </c>
      <c r="C108" s="567" t="s">
        <v>916</v>
      </c>
      <c r="M108" s="589" t="str">
        <f>IF(AND($I$93="HOPE VI Initiative",O108=""), "X","")</f>
        <v/>
      </c>
      <c r="N108" s="233" t="s">
        <v>3684</v>
      </c>
      <c r="O108" s="1174" t="s">
        <v>2254</v>
      </c>
      <c r="P108" s="551"/>
    </row>
    <row r="109" spans="1:16" ht="10.9" customHeight="1">
      <c r="B109" s="566" t="s">
        <v>3685</v>
      </c>
      <c r="C109" s="72" t="s">
        <v>917</v>
      </c>
      <c r="M109" s="589" t="str">
        <f>IF(AND($I$93="HOPE VI Initiative",O109=""), "X","")</f>
        <v/>
      </c>
      <c r="N109" s="233" t="s">
        <v>3685</v>
      </c>
      <c r="O109" s="1184" t="s">
        <v>2254</v>
      </c>
      <c r="P109" s="355"/>
    </row>
    <row r="110" spans="1:16" s="53" customFormat="1" ht="11.45" customHeight="1">
      <c r="A110" s="564"/>
      <c r="B110" s="565" t="s">
        <v>3066</v>
      </c>
      <c r="C110" s="153" t="s">
        <v>540</v>
      </c>
      <c r="D110" s="139"/>
      <c r="E110" s="50"/>
      <c r="G110" s="594" t="s">
        <v>921</v>
      </c>
      <c r="M110" s="70"/>
      <c r="N110" s="565" t="s">
        <v>3066</v>
      </c>
      <c r="O110" s="1184" t="s">
        <v>2254</v>
      </c>
      <c r="P110" s="355"/>
    </row>
    <row r="111" spans="1:16" s="53" customFormat="1" ht="11.45" customHeight="1">
      <c r="A111" s="564" t="str">
        <f>IF($I$93="Redevelopment Zone", "X","")</f>
        <v/>
      </c>
      <c r="B111" s="565" t="s">
        <v>3823</v>
      </c>
      <c r="C111" s="153" t="s">
        <v>541</v>
      </c>
      <c r="D111" s="139"/>
      <c r="F111" s="589"/>
      <c r="G111" s="50" t="s">
        <v>1651</v>
      </c>
      <c r="H111" s="1185" t="s">
        <v>2801</v>
      </c>
      <c r="I111" s="161" t="s">
        <v>1563</v>
      </c>
      <c r="J111" s="1186"/>
      <c r="K111" s="1187"/>
      <c r="L111" s="1188"/>
      <c r="M111" s="70"/>
      <c r="N111" s="565" t="s">
        <v>3823</v>
      </c>
      <c r="O111" s="1184" t="s">
        <v>2254</v>
      </c>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t="s">
        <v>2254</v>
      </c>
      <c r="P112" s="355"/>
    </row>
    <row r="113" spans="1:16" ht="11.45" customHeight="1">
      <c r="B113" s="566" t="s">
        <v>3682</v>
      </c>
      <c r="C113" s="50" t="s">
        <v>922</v>
      </c>
      <c r="D113" s="137"/>
      <c r="G113" s="137" t="s">
        <v>920</v>
      </c>
      <c r="H113" s="1192"/>
      <c r="M113" s="589" t="str">
        <f>IF(AND($I$93="Local Redevelopment Plan",O113=""), "X","")</f>
        <v/>
      </c>
      <c r="N113" s="566" t="s">
        <v>3682</v>
      </c>
      <c r="O113" s="1183" t="s">
        <v>2254</v>
      </c>
      <c r="P113" s="354"/>
    </row>
    <row r="114" spans="1:16" ht="10.9" customHeight="1">
      <c r="B114" s="566" t="s">
        <v>3683</v>
      </c>
      <c r="C114" s="567" t="s">
        <v>3711</v>
      </c>
      <c r="D114" s="137"/>
      <c r="M114" s="589"/>
      <c r="N114" s="566" t="s">
        <v>3683</v>
      </c>
      <c r="O114" s="1193" t="s">
        <v>2254</v>
      </c>
      <c r="P114" s="617"/>
    </row>
    <row r="115" spans="1:16" ht="10.9" customHeight="1">
      <c r="B115" s="566" t="s">
        <v>3684</v>
      </c>
      <c r="C115" s="567" t="s">
        <v>3712</v>
      </c>
      <c r="M115" s="589" t="str">
        <f t="shared" ref="M115:M124" si="0">IF(AND($I$93="Local Redevelopment Plan",O115=""), "X","")</f>
        <v/>
      </c>
      <c r="N115" s="566" t="s">
        <v>3684</v>
      </c>
      <c r="O115" s="1174" t="s">
        <v>2254</v>
      </c>
      <c r="P115" s="551"/>
    </row>
    <row r="116" spans="1:16" ht="10.9" customHeight="1">
      <c r="B116" s="566" t="s">
        <v>3685</v>
      </c>
      <c r="C116" s="567" t="s">
        <v>3713</v>
      </c>
      <c r="M116" s="589" t="str">
        <f t="shared" si="0"/>
        <v/>
      </c>
      <c r="N116" s="566" t="s">
        <v>3685</v>
      </c>
      <c r="O116" s="1174" t="s">
        <v>2254</v>
      </c>
      <c r="P116" s="551"/>
    </row>
    <row r="117" spans="1:16" ht="10.9" customHeight="1">
      <c r="B117" s="566" t="s">
        <v>3686</v>
      </c>
      <c r="C117" s="72" t="s">
        <v>3714</v>
      </c>
      <c r="M117" s="589" t="str">
        <f t="shared" si="0"/>
        <v/>
      </c>
      <c r="N117" s="566" t="s">
        <v>3686</v>
      </c>
      <c r="O117" s="1174" t="s">
        <v>2254</v>
      </c>
      <c r="P117" s="551"/>
    </row>
    <row r="118" spans="1:16" ht="10.9" customHeight="1">
      <c r="B118" s="566" t="s">
        <v>3709</v>
      </c>
      <c r="C118" s="567" t="s">
        <v>3715</v>
      </c>
      <c r="D118" s="137"/>
      <c r="M118" s="589" t="str">
        <f t="shared" si="0"/>
        <v/>
      </c>
      <c r="N118" s="566" t="s">
        <v>3709</v>
      </c>
      <c r="O118" s="1174" t="s">
        <v>2254</v>
      </c>
      <c r="P118" s="551"/>
    </row>
    <row r="119" spans="1:16" ht="10.9" customHeight="1">
      <c r="B119" s="566" t="s">
        <v>3710</v>
      </c>
      <c r="C119" s="567" t="s">
        <v>3716</v>
      </c>
      <c r="M119" s="589" t="str">
        <f t="shared" si="0"/>
        <v/>
      </c>
      <c r="N119" s="566" t="s">
        <v>3710</v>
      </c>
      <c r="O119" s="1184" t="s">
        <v>2254</v>
      </c>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t="s">
        <v>2254</v>
      </c>
      <c r="P121" s="354"/>
    </row>
    <row r="122" spans="1:16" ht="10.9" customHeight="1">
      <c r="B122" s="566" t="s">
        <v>3718</v>
      </c>
      <c r="C122" s="72" t="s">
        <v>3722</v>
      </c>
      <c r="M122" s="589" t="str">
        <f t="shared" si="0"/>
        <v/>
      </c>
      <c r="N122" s="566" t="s">
        <v>3718</v>
      </c>
      <c r="O122" s="1174" t="s">
        <v>2254</v>
      </c>
      <c r="P122" s="551"/>
    </row>
    <row r="123" spans="1:16" ht="10.9" customHeight="1">
      <c r="B123" s="566" t="s">
        <v>3719</v>
      </c>
      <c r="C123" s="567" t="s">
        <v>3723</v>
      </c>
      <c r="M123" s="589" t="str">
        <f t="shared" si="0"/>
        <v/>
      </c>
      <c r="N123" s="566" t="s">
        <v>3719</v>
      </c>
      <c r="O123" s="1174" t="s">
        <v>2254</v>
      </c>
      <c r="P123" s="551"/>
    </row>
    <row r="124" spans="1:16" ht="10.9" customHeight="1">
      <c r="B124" s="566" t="s">
        <v>919</v>
      </c>
      <c r="C124" s="72" t="s">
        <v>3724</v>
      </c>
      <c r="M124" s="589" t="str">
        <f t="shared" si="0"/>
        <v/>
      </c>
      <c r="N124" s="566" t="s">
        <v>919</v>
      </c>
      <c r="O124" s="1184" t="s">
        <v>2254</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4035</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8"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v>0</v>
      </c>
      <c r="P133" s="696"/>
    </row>
    <row r="134" spans="1:17" s="137" customFormat="1" ht="22.9" customHeight="1">
      <c r="B134" s="596" t="s">
        <v>3064</v>
      </c>
      <c r="C134" s="1051" t="s">
        <v>1565</v>
      </c>
      <c r="D134" s="1004"/>
      <c r="E134" s="1004"/>
      <c r="F134" s="1004"/>
      <c r="G134" s="1004"/>
      <c r="H134" s="1004"/>
      <c r="I134" s="1004"/>
      <c r="J134" s="1004"/>
      <c r="K134" s="1004"/>
      <c r="L134" s="1004"/>
      <c r="M134" s="695"/>
      <c r="N134" s="596" t="s">
        <v>3064</v>
      </c>
      <c r="O134" s="1166" t="s">
        <v>3926</v>
      </c>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8"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4036</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70" t="s">
        <v>3728</v>
      </c>
      <c r="C149" s="1004"/>
      <c r="D149" s="1004"/>
      <c r="E149" s="1004"/>
      <c r="F149" s="1004"/>
      <c r="G149" s="1004"/>
      <c r="H149" s="1004"/>
      <c r="I149" s="1004"/>
      <c r="J149" s="1004"/>
      <c r="K149" s="1004"/>
      <c r="L149" s="1004"/>
      <c r="M149" s="1004"/>
      <c r="N149" s="1004"/>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70" t="s">
        <v>3341</v>
      </c>
      <c r="C152" s="1004"/>
      <c r="D152" s="1004"/>
      <c r="E152" s="1004"/>
      <c r="F152" s="1004"/>
      <c r="G152" s="1004"/>
      <c r="H152" s="1004"/>
      <c r="I152" s="1004"/>
      <c r="J152" s="1004"/>
      <c r="K152" s="1004"/>
      <c r="L152" s="1004"/>
      <c r="M152" s="1004"/>
      <c r="N152" s="1004"/>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4037</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8" t="s">
        <v>3060</v>
      </c>
      <c r="C167" s="238" t="s">
        <v>3361</v>
      </c>
      <c r="D167" s="76"/>
      <c r="E167" s="76"/>
      <c r="G167" s="31"/>
      <c r="K167" s="62" t="s">
        <v>2216</v>
      </c>
      <c r="L167" s="1166" t="s">
        <v>3933</v>
      </c>
      <c r="M167" s="8">
        <v>1</v>
      </c>
      <c r="N167" s="62" t="s">
        <v>3060</v>
      </c>
      <c r="O167" s="1162">
        <v>1</v>
      </c>
      <c r="P167" s="89"/>
      <c r="Q167" s="146"/>
      <c r="R167" s="573" t="str">
        <f>IF(OR($O167=$M167,$O167=0,$O167=""),"","* * Check Score! * *")</f>
        <v/>
      </c>
    </row>
    <row r="168" spans="1:18" s="53" customFormat="1" ht="12" customHeight="1">
      <c r="B168" s="738" t="s">
        <v>3063</v>
      </c>
      <c r="C168" s="238" t="s">
        <v>3362</v>
      </c>
      <c r="D168" s="72"/>
      <c r="E168" s="40"/>
      <c r="F168" s="72"/>
      <c r="K168" s="65"/>
      <c r="L168" s="573" t="str">
        <f>IF(OR($O168=$M168,$O168=0,$O168=""),"","* * Check Score! * *")</f>
        <v/>
      </c>
      <c r="M168" s="8">
        <v>1</v>
      </c>
      <c r="N168" s="62" t="s">
        <v>3063</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4038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8" t="s">
        <v>3060</v>
      </c>
      <c r="C176" s="238" t="s">
        <v>2842</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3066</v>
      </c>
      <c r="C179" s="1055" t="s">
        <v>2902</v>
      </c>
      <c r="D179" s="1055"/>
      <c r="E179" s="1055"/>
      <c r="F179" s="1055"/>
      <c r="G179" s="1055"/>
      <c r="H179" s="1055"/>
      <c r="I179" s="1055"/>
      <c r="J179" s="1055"/>
      <c r="K179" s="1055"/>
      <c r="L179" s="1055"/>
      <c r="M179" s="694">
        <v>1</v>
      </c>
    </row>
    <row r="180" spans="1:18" ht="12" customHeight="1">
      <c r="B180" s="738"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2868</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4028</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3999</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2</v>
      </c>
      <c r="P207" s="89"/>
      <c r="Q207" s="146" t="s">
        <v>652</v>
      </c>
      <c r="R207" s="31"/>
    </row>
    <row r="208" spans="1:18" s="78" customFormat="1" ht="25.15" customHeight="1">
      <c r="A208" s="210"/>
      <c r="B208" s="1058"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t="s">
        <v>3994</v>
      </c>
      <c r="E209" s="1200"/>
      <c r="F209" s="1200"/>
      <c r="G209" s="1201"/>
      <c r="I209" s="702" t="s">
        <v>1573</v>
      </c>
      <c r="J209" s="1166">
        <v>3</v>
      </c>
      <c r="L209" s="702" t="s">
        <v>1574</v>
      </c>
      <c r="M209" s="1166">
        <v>2</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t="s">
        <v>4039</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c r="P213" s="89"/>
      <c r="Q213" s="146" t="s">
        <v>652</v>
      </c>
    </row>
    <row r="214" spans="1:18" s="53" customFormat="1" ht="12.6" customHeight="1">
      <c r="A214" s="52"/>
      <c r="B214" s="153" t="s">
        <v>2893</v>
      </c>
      <c r="D214" s="139"/>
      <c r="E214" s="1202" t="s">
        <v>2814</v>
      </c>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t="s">
        <v>3809</v>
      </c>
      <c r="H215" s="1207"/>
      <c r="I215" s="1208"/>
      <c r="J215" s="1206" t="s">
        <v>1838</v>
      </c>
      <c r="K215" s="1207"/>
      <c r="L215" s="1208"/>
      <c r="N215" s="566" t="s">
        <v>3682</v>
      </c>
      <c r="O215" s="1166"/>
      <c r="P215" s="234"/>
    </row>
    <row r="216" spans="1:18" s="137" customFormat="1" ht="11.45" customHeight="1">
      <c r="B216" s="566" t="s">
        <v>3683</v>
      </c>
      <c r="C216" s="160" t="s">
        <v>506</v>
      </c>
      <c r="D216" s="160"/>
      <c r="E216" s="160"/>
      <c r="F216" s="160"/>
      <c r="G216" s="160"/>
      <c r="L216" s="160"/>
      <c r="M216" s="160"/>
      <c r="N216" s="566" t="s">
        <v>3683</v>
      </c>
      <c r="O216" s="1166"/>
      <c r="P216" s="234"/>
    </row>
    <row r="217" spans="1:18" s="137" customFormat="1" ht="11.45" customHeight="1">
      <c r="B217" s="566" t="s">
        <v>3684</v>
      </c>
      <c r="C217" s="160" t="s">
        <v>2625</v>
      </c>
      <c r="D217" s="160"/>
      <c r="E217" s="160"/>
      <c r="F217" s="160"/>
      <c r="G217" s="160"/>
      <c r="H217" s="160"/>
      <c r="L217" s="160"/>
      <c r="M217" s="160"/>
      <c r="N217" s="566" t="s">
        <v>3684</v>
      </c>
      <c r="O217" s="116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3</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t="s">
        <v>3933</v>
      </c>
      <c r="P229" s="234"/>
    </row>
    <row r="230" spans="1:18" s="137" customFormat="1" ht="12" customHeight="1">
      <c r="B230" s="252" t="s">
        <v>3066</v>
      </c>
      <c r="C230" s="137" t="s">
        <v>871</v>
      </c>
      <c r="N230" s="252" t="s">
        <v>3066</v>
      </c>
      <c r="O230" s="1166" t="s">
        <v>3933</v>
      </c>
      <c r="P230" s="234"/>
    </row>
    <row r="231" spans="1:18" s="137" customFormat="1" ht="12" customHeight="1">
      <c r="B231" s="252" t="s">
        <v>3823</v>
      </c>
      <c r="C231" s="137" t="s">
        <v>872</v>
      </c>
      <c r="N231" s="252" t="s">
        <v>3823</v>
      </c>
      <c r="O231" s="1166" t="s">
        <v>3933</v>
      </c>
      <c r="P231" s="234"/>
    </row>
    <row r="232" spans="1:18" s="137" customFormat="1" ht="12" customHeight="1">
      <c r="B232" s="252" t="s">
        <v>1886</v>
      </c>
      <c r="C232" s="137" t="s">
        <v>873</v>
      </c>
      <c r="N232" s="252" t="s">
        <v>1886</v>
      </c>
      <c r="O232" s="1166" t="s">
        <v>3933</v>
      </c>
      <c r="P232" s="234"/>
    </row>
    <row r="233" spans="1:18" s="137" customFormat="1" ht="12" customHeight="1">
      <c r="B233" s="252" t="s">
        <v>1887</v>
      </c>
      <c r="C233" s="137" t="s">
        <v>885</v>
      </c>
      <c r="N233" s="252" t="s">
        <v>1887</v>
      </c>
      <c r="O233" s="1166" t="s">
        <v>3933</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4040</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3933</v>
      </c>
      <c r="P260" s="234"/>
    </row>
    <row r="261" spans="1:18" s="53" customFormat="1" ht="24.6" customHeight="1">
      <c r="A261" s="52"/>
      <c r="B261" s="1056" t="s">
        <v>3918</v>
      </c>
      <c r="C261" s="1057"/>
      <c r="D261" s="1057"/>
      <c r="E261" s="1057"/>
      <c r="F261" s="1057"/>
      <c r="G261" s="1057"/>
      <c r="H261" s="1057"/>
      <c r="I261" s="1057"/>
      <c r="J261" s="1057"/>
      <c r="K261" s="1057"/>
      <c r="L261" s="1057"/>
      <c r="M261" s="56"/>
      <c r="N261" s="77"/>
      <c r="O261" s="1166" t="s">
        <v>3933</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4042</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4" t="s">
        <v>3519</v>
      </c>
      <c r="C273" s="1051"/>
      <c r="D273" s="1051"/>
      <c r="E273" s="1051"/>
      <c r="F273" s="1051"/>
      <c r="G273" s="1051"/>
      <c r="H273" s="1051"/>
      <c r="I273" s="1051"/>
      <c r="J273" s="1051"/>
      <c r="K273" s="1051"/>
      <c r="L273" s="1051"/>
      <c r="M273" s="1051"/>
      <c r="N273" s="62"/>
      <c r="O273" s="1166" t="s">
        <v>3977</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4041</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3995</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4043</v>
      </c>
      <c r="B288" s="1153"/>
      <c r="C288" s="1153"/>
      <c r="D288" s="1153"/>
      <c r="E288" s="1153"/>
      <c r="F288" s="1153"/>
      <c r="G288" s="1153"/>
      <c r="H288" s="1153"/>
      <c r="I288" s="1153"/>
      <c r="J288" s="1153"/>
      <c r="K288" s="1153"/>
      <c r="L288" s="1153"/>
      <c r="M288" s="1153"/>
      <c r="N288" s="1153"/>
      <c r="O288" s="1153"/>
      <c r="P288" s="1154"/>
      <c r="Q288" s="1029" t="s">
        <v>1933</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1933</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disablePrompts="1"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31" sqref="C31"/>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Heritage Vista Apartments</v>
      </c>
    </row>
    <row r="3" spans="1:6" ht="16.5">
      <c r="A3" s="1147" t="str">
        <f>CONCATENATE('Part I-Project Information'!F24,", ", 'Part I-Project Information'!J25," County")</f>
        <v>Milledgeville, Baldwin County</v>
      </c>
    </row>
    <row r="4" spans="1:6" ht="12" customHeight="1"/>
    <row r="5" spans="1:6" ht="111" customHeight="1">
      <c r="A5" s="1148" t="s">
        <v>4005</v>
      </c>
      <c r="B5" s="774" t="s">
        <v>1592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31" sqref="B31:M31"/>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C31" sqref="C3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10360960</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12433168</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11397048</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48600</v>
      </c>
      <c r="J77" s="427">
        <v>0</v>
      </c>
      <c r="K77" s="427">
        <v>0.7</v>
      </c>
      <c r="L77" s="427">
        <v>1</v>
      </c>
    </row>
    <row r="78" spans="1:21" ht="9" customHeight="1">
      <c r="C78" s="577" t="s">
        <v>1660</v>
      </c>
      <c r="D78" s="1127">
        <v>57700</v>
      </c>
      <c r="J78" s="427">
        <v>1</v>
      </c>
      <c r="K78" s="427">
        <v>0.75</v>
      </c>
      <c r="L78" s="427">
        <v>1.5</v>
      </c>
    </row>
    <row r="79" spans="1:21" ht="9" customHeight="1">
      <c r="C79" s="577" t="s">
        <v>1340</v>
      </c>
      <c r="D79" s="1127">
        <v>71800</v>
      </c>
      <c r="J79" s="427">
        <v>2</v>
      </c>
      <c r="K79" s="427">
        <v>0.9</v>
      </c>
      <c r="L79" s="427">
        <v>3</v>
      </c>
    </row>
    <row r="80" spans="1:21" ht="9" customHeight="1">
      <c r="C80" s="577" t="s">
        <v>1341</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1661</v>
      </c>
      <c r="D82" s="1127">
        <v>55900</v>
      </c>
      <c r="J82" s="427">
        <v>5</v>
      </c>
      <c r="K82" s="427">
        <v>1.28</v>
      </c>
      <c r="L82" s="427">
        <v>7.5</v>
      </c>
    </row>
    <row r="83" spans="3:12" ht="9" customHeight="1">
      <c r="C83" s="577" t="s">
        <v>2272</v>
      </c>
      <c r="D83" s="1127">
        <v>55900</v>
      </c>
    </row>
    <row r="84" spans="3:12" ht="9" customHeight="1">
      <c r="C84" s="577" t="s">
        <v>217</v>
      </c>
      <c r="D84" s="1127">
        <v>51800</v>
      </c>
    </row>
    <row r="85" spans="3:12" ht="9" customHeight="1">
      <c r="C85" s="577" t="s">
        <v>432</v>
      </c>
      <c r="D85" s="1127">
        <v>52400</v>
      </c>
    </row>
    <row r="86" spans="3:12" ht="9" customHeight="1">
      <c r="C86" s="578" t="s">
        <v>1883</v>
      </c>
      <c r="D86" s="1127">
        <v>60200</v>
      </c>
    </row>
    <row r="87" spans="3:12" ht="9" customHeight="1">
      <c r="C87" s="578" t="s">
        <v>1342</v>
      </c>
      <c r="D87" s="1127">
        <v>47500</v>
      </c>
    </row>
    <row r="88" spans="3:12" ht="9" customHeight="1">
      <c r="C88" s="578" t="s">
        <v>1662</v>
      </c>
      <c r="D88" s="1127">
        <v>44900</v>
      </c>
    </row>
    <row r="89" spans="3:12" ht="9" customHeight="1">
      <c r="C89" s="577" t="s">
        <v>1343</v>
      </c>
      <c r="D89" s="1127">
        <v>54100</v>
      </c>
    </row>
    <row r="90" spans="3:12" ht="9" customHeight="1">
      <c r="C90" s="578" t="s">
        <v>2186</v>
      </c>
      <c r="D90" s="1127">
        <v>40400</v>
      </c>
    </row>
    <row r="91" spans="3:12" ht="9" customHeight="1">
      <c r="C91" s="577" t="s">
        <v>2022</v>
      </c>
      <c r="D91" s="1127">
        <v>53200</v>
      </c>
    </row>
    <row r="92" spans="3:12" ht="9" customHeight="1">
      <c r="C92" s="578" t="s">
        <v>1345</v>
      </c>
      <c r="D92" s="1127">
        <v>47200</v>
      </c>
    </row>
    <row r="93" spans="3:12" ht="9" customHeight="1">
      <c r="C93" s="578" t="s">
        <v>3134</v>
      </c>
      <c r="D93" s="1127">
        <v>63600</v>
      </c>
    </row>
    <row r="94" spans="3:12" ht="9" customHeight="1">
      <c r="C94" s="578" t="s">
        <v>3900</v>
      </c>
      <c r="D94" s="1127">
        <v>52500</v>
      </c>
    </row>
    <row r="95" spans="3:12" ht="9" customHeight="1">
      <c r="C95" s="577" t="s">
        <v>3400</v>
      </c>
      <c r="D95" s="1127">
        <v>52400</v>
      </c>
    </row>
    <row r="96" spans="3:12" ht="9" customHeight="1">
      <c r="C96" s="577" t="s">
        <v>2028</v>
      </c>
      <c r="D96" s="1127">
        <v>59000</v>
      </c>
    </row>
    <row r="97" spans="3:4" ht="9" customHeight="1">
      <c r="C97" s="577" t="s">
        <v>2714</v>
      </c>
      <c r="D97" s="1127">
        <v>48300</v>
      </c>
    </row>
    <row r="98" spans="3:4" ht="9" customHeight="1">
      <c r="C98" s="577" t="s">
        <v>2727</v>
      </c>
      <c r="D98" s="1127">
        <v>66000</v>
      </c>
    </row>
    <row r="99" spans="3:4" ht="9" customHeight="1">
      <c r="C99" s="578" t="s">
        <v>1874</v>
      </c>
      <c r="D99" s="1127">
        <v>43400</v>
      </c>
    </row>
    <row r="100" spans="3:4" ht="9" customHeight="1">
      <c r="C100" s="578" t="s">
        <v>2808</v>
      </c>
      <c r="D100" s="1127">
        <v>40600</v>
      </c>
    </row>
    <row r="101" spans="3:4" ht="9" customHeight="1">
      <c r="C101" s="578" t="s">
        <v>2810</v>
      </c>
      <c r="D101" s="1127">
        <v>40600</v>
      </c>
    </row>
    <row r="102" spans="3:4" ht="9" customHeight="1">
      <c r="C102" s="577" t="s">
        <v>212</v>
      </c>
      <c r="D102" s="1127">
        <v>51900</v>
      </c>
    </row>
    <row r="103" spans="3:4" ht="9" customHeight="1">
      <c r="C103" s="578" t="s">
        <v>2014</v>
      </c>
      <c r="D103" s="1127">
        <v>53700</v>
      </c>
    </row>
    <row r="104" spans="3:4" ht="9" customHeight="1">
      <c r="C104" s="578" t="s">
        <v>1663</v>
      </c>
      <c r="D104" s="1127">
        <v>41100</v>
      </c>
    </row>
    <row r="105" spans="3:4" ht="9" customHeight="1">
      <c r="C105" s="578" t="s">
        <v>2020</v>
      </c>
      <c r="D105" s="1127">
        <v>43100</v>
      </c>
    </row>
    <row r="106" spans="3:4" ht="9" customHeight="1">
      <c r="C106" s="577" t="s">
        <v>2024</v>
      </c>
      <c r="D106" s="1127">
        <v>51100</v>
      </c>
    </row>
    <row r="107" spans="3:4" ht="9" customHeight="1">
      <c r="C107" s="577" t="s">
        <v>2030</v>
      </c>
      <c r="D107" s="1127">
        <v>53600</v>
      </c>
    </row>
    <row r="108" spans="3:4" ht="9" customHeight="1">
      <c r="C108" s="578" t="s">
        <v>2035</v>
      </c>
      <c r="D108" s="1127">
        <v>38600</v>
      </c>
    </row>
    <row r="109" spans="3:4" ht="9" customHeight="1">
      <c r="C109" s="577" t="s">
        <v>1220</v>
      </c>
      <c r="D109" s="1127">
        <v>56000</v>
      </c>
    </row>
    <row r="110" spans="3:4" ht="9" customHeight="1">
      <c r="C110" s="578" t="s">
        <v>1222</v>
      </c>
      <c r="D110" s="1127">
        <v>38200</v>
      </c>
    </row>
    <row r="111" spans="3:4" ht="9" customHeight="1">
      <c r="C111" s="578" t="s">
        <v>214</v>
      </c>
      <c r="D111" s="1127">
        <v>41600</v>
      </c>
    </row>
    <row r="112" spans="3:4" ht="9" customHeight="1">
      <c r="C112" s="578" t="s">
        <v>219</v>
      </c>
      <c r="D112" s="1127">
        <v>45100</v>
      </c>
    </row>
    <row r="113" spans="3:4" ht="9" customHeight="1">
      <c r="C113" s="578" t="s">
        <v>3758</v>
      </c>
      <c r="D113" s="1127">
        <v>34600</v>
      </c>
    </row>
    <row r="114" spans="3:4" ht="9" customHeight="1">
      <c r="C114" s="578" t="s">
        <v>3761</v>
      </c>
      <c r="D114" s="1127">
        <v>39500</v>
      </c>
    </row>
    <row r="115" spans="3:4" ht="9" customHeight="1">
      <c r="C115" s="578" t="s">
        <v>3764</v>
      </c>
      <c r="D115" s="1127">
        <v>44700</v>
      </c>
    </row>
    <row r="116" spans="3:4" ht="9" customHeight="1">
      <c r="C116" s="578" t="s">
        <v>3816</v>
      </c>
      <c r="D116" s="1127">
        <v>43300</v>
      </c>
    </row>
    <row r="117" spans="3:4" ht="9" customHeight="1">
      <c r="C117" s="578" t="s">
        <v>3819</v>
      </c>
      <c r="D117" s="1127">
        <v>39600</v>
      </c>
    </row>
    <row r="118" spans="3:4" ht="9" customHeight="1">
      <c r="C118" s="578" t="s">
        <v>251</v>
      </c>
      <c r="D118" s="1127">
        <v>40700</v>
      </c>
    </row>
    <row r="119" spans="3:4" ht="9" customHeight="1">
      <c r="C119" s="578" t="s">
        <v>255</v>
      </c>
      <c r="D119" s="1127">
        <v>40600</v>
      </c>
    </row>
    <row r="120" spans="3:4" ht="9" customHeight="1">
      <c r="C120" s="578" t="s">
        <v>1549</v>
      </c>
      <c r="D120" s="1127">
        <v>43200</v>
      </c>
    </row>
    <row r="121" spans="3:4" ht="9" customHeight="1">
      <c r="C121" s="578" t="s">
        <v>1551</v>
      </c>
      <c r="D121" s="1127">
        <v>44000</v>
      </c>
    </row>
    <row r="122" spans="3:4" ht="9" customHeight="1">
      <c r="C122" s="578" t="s">
        <v>1467</v>
      </c>
      <c r="D122" s="1127">
        <v>38800</v>
      </c>
    </row>
    <row r="123" spans="3:4" ht="9" customHeight="1">
      <c r="C123" s="578" t="s">
        <v>1471</v>
      </c>
      <c r="D123" s="1127">
        <v>42000</v>
      </c>
    </row>
    <row r="124" spans="3:4" ht="9" customHeight="1">
      <c r="C124" s="578" t="s">
        <v>3372</v>
      </c>
      <c r="D124" s="1127">
        <v>38500</v>
      </c>
    </row>
    <row r="125" spans="3:4" ht="9" customHeight="1">
      <c r="C125" s="578" t="s">
        <v>999</v>
      </c>
      <c r="D125" s="1127">
        <v>38700</v>
      </c>
    </row>
    <row r="126" spans="3:4" ht="9" customHeight="1">
      <c r="C126" s="578" t="s">
        <v>1001</v>
      </c>
      <c r="D126" s="1127">
        <v>43600</v>
      </c>
    </row>
    <row r="127" spans="3:4" ht="9" customHeight="1">
      <c r="C127" s="577" t="s">
        <v>1006</v>
      </c>
      <c r="D127" s="1127">
        <v>46700</v>
      </c>
    </row>
    <row r="128" spans="3:4" ht="9" customHeight="1">
      <c r="C128" s="578" t="s">
        <v>1008</v>
      </c>
      <c r="D128" s="1127">
        <v>46600</v>
      </c>
    </row>
    <row r="129" spans="3:4" ht="9" customHeight="1">
      <c r="C129" s="577" t="s">
        <v>1010</v>
      </c>
      <c r="D129" s="1127">
        <v>45500</v>
      </c>
    </row>
    <row r="130" spans="3:4" ht="9" customHeight="1">
      <c r="C130" s="578" t="s">
        <v>1013</v>
      </c>
      <c r="D130" s="1127">
        <v>53200</v>
      </c>
    </row>
    <row r="131" spans="3:4" ht="9" customHeight="1">
      <c r="C131" s="578" t="s">
        <v>1015</v>
      </c>
      <c r="D131" s="1127">
        <v>42600</v>
      </c>
    </row>
    <row r="132" spans="3:4" ht="9" customHeight="1">
      <c r="C132" s="578" t="s">
        <v>1017</v>
      </c>
      <c r="D132" s="1127">
        <v>49500</v>
      </c>
    </row>
    <row r="133" spans="3:4" ht="9" customHeight="1">
      <c r="C133" s="578" t="s">
        <v>138</v>
      </c>
      <c r="D133" s="1127">
        <v>52600</v>
      </c>
    </row>
    <row r="134" spans="3:4" ht="9" customHeight="1">
      <c r="C134" s="578" t="s">
        <v>409</v>
      </c>
      <c r="D134" s="1127">
        <v>33900</v>
      </c>
    </row>
    <row r="135" spans="3:4" ht="9" customHeight="1">
      <c r="C135" s="578" t="s">
        <v>413</v>
      </c>
      <c r="D135" s="1127">
        <v>49200</v>
      </c>
    </row>
    <row r="136" spans="3:4" ht="9" customHeight="1">
      <c r="C136" s="578" t="s">
        <v>418</v>
      </c>
      <c r="D136" s="1127">
        <v>43800</v>
      </c>
    </row>
    <row r="137" spans="3:4" ht="9" customHeight="1">
      <c r="C137" s="578" t="s">
        <v>420</v>
      </c>
      <c r="D137" s="1127">
        <v>56600</v>
      </c>
    </row>
    <row r="138" spans="3:4" ht="9" customHeight="1">
      <c r="C138" s="578" t="s">
        <v>423</v>
      </c>
      <c r="D138" s="1127">
        <v>38500</v>
      </c>
    </row>
    <row r="139" spans="3:4" ht="9" customHeight="1">
      <c r="C139" s="578" t="s">
        <v>425</v>
      </c>
      <c r="D139" s="1127">
        <v>39000</v>
      </c>
    </row>
    <row r="140" spans="3:4" ht="9" customHeight="1">
      <c r="C140" s="578" t="s">
        <v>427</v>
      </c>
      <c r="D140" s="1127">
        <v>36800</v>
      </c>
    </row>
    <row r="141" spans="3:4" ht="9" customHeight="1">
      <c r="C141" s="578" t="s">
        <v>429</v>
      </c>
      <c r="D141" s="1127">
        <v>36900</v>
      </c>
    </row>
    <row r="142" spans="3:4" ht="9" customHeight="1">
      <c r="C142" s="578" t="s">
        <v>2180</v>
      </c>
      <c r="D142" s="1127">
        <v>47600</v>
      </c>
    </row>
    <row r="143" spans="3:4" ht="9" customHeight="1">
      <c r="C143" s="578" t="s">
        <v>2184</v>
      </c>
      <c r="D143" s="1127">
        <v>45600</v>
      </c>
    </row>
    <row r="144" spans="3:4" ht="9" customHeight="1">
      <c r="C144" s="577" t="s">
        <v>234</v>
      </c>
      <c r="D144" s="1127">
        <v>57700</v>
      </c>
    </row>
    <row r="145" spans="3:4" ht="9" customHeight="1">
      <c r="C145" s="578" t="s">
        <v>235</v>
      </c>
      <c r="D145" s="1127">
        <v>36600</v>
      </c>
    </row>
    <row r="146" spans="3:4" ht="9" customHeight="1">
      <c r="C146" s="578" t="s">
        <v>2540</v>
      </c>
      <c r="D146" s="1127">
        <v>39700</v>
      </c>
    </row>
    <row r="147" spans="3:4" ht="9" customHeight="1">
      <c r="C147" s="578" t="s">
        <v>2542</v>
      </c>
      <c r="D147" s="1127">
        <v>38900</v>
      </c>
    </row>
    <row r="148" spans="3:4" ht="9" customHeight="1">
      <c r="C148" s="578" t="s">
        <v>242</v>
      </c>
      <c r="D148" s="1127">
        <v>47800</v>
      </c>
    </row>
    <row r="149" spans="3:4" ht="9" customHeight="1">
      <c r="C149" s="577" t="s">
        <v>3898</v>
      </c>
      <c r="D149" s="1127">
        <v>57400</v>
      </c>
    </row>
    <row r="150" spans="3:4" ht="9" customHeight="1">
      <c r="C150" s="578" t="s">
        <v>1724</v>
      </c>
      <c r="D150" s="1127">
        <v>53100</v>
      </c>
    </row>
    <row r="151" spans="3:4" ht="9" customHeight="1">
      <c r="C151" s="578" t="s">
        <v>1727</v>
      </c>
      <c r="D151" s="1127">
        <v>44700</v>
      </c>
    </row>
    <row r="152" spans="3:4" ht="9" customHeight="1">
      <c r="C152" s="578" t="s">
        <v>1730</v>
      </c>
      <c r="D152" s="1127">
        <v>46200</v>
      </c>
    </row>
    <row r="153" spans="3:4" ht="9" customHeight="1">
      <c r="C153" s="577" t="s">
        <v>1732</v>
      </c>
      <c r="D153" s="1127">
        <v>48500</v>
      </c>
    </row>
    <row r="154" spans="3:4" ht="9" customHeight="1">
      <c r="C154" s="577" t="s">
        <v>1734</v>
      </c>
      <c r="D154" s="1127">
        <v>53900</v>
      </c>
    </row>
    <row r="155" spans="3:4" ht="9" customHeight="1">
      <c r="C155" s="578" t="s">
        <v>1736</v>
      </c>
      <c r="D155" s="1127">
        <v>38200</v>
      </c>
    </row>
    <row r="156" spans="3:4" ht="9" customHeight="1">
      <c r="C156" s="578" t="s">
        <v>1738</v>
      </c>
      <c r="D156" s="1127">
        <v>49800</v>
      </c>
    </row>
    <row r="157" spans="3:4" ht="9" customHeight="1">
      <c r="C157" s="578" t="s">
        <v>1740</v>
      </c>
      <c r="D157" s="1127">
        <v>37700</v>
      </c>
    </row>
    <row r="158" spans="3:4" ht="9" customHeight="1">
      <c r="C158" s="578" t="s">
        <v>3275</v>
      </c>
      <c r="D158" s="1127">
        <v>45000</v>
      </c>
    </row>
    <row r="159" spans="3:4" ht="9" customHeight="1">
      <c r="C159" s="578" t="s">
        <v>3277</v>
      </c>
      <c r="D159" s="1127">
        <v>43200</v>
      </c>
    </row>
    <row r="160" spans="3:4" ht="9" customHeight="1">
      <c r="C160" s="577" t="s">
        <v>3279</v>
      </c>
      <c r="D160" s="1127">
        <v>41400</v>
      </c>
    </row>
    <row r="161" spans="3:4" ht="9" customHeight="1">
      <c r="C161" s="577" t="s">
        <v>3282</v>
      </c>
      <c r="D161" s="1127">
        <v>44400</v>
      </c>
    </row>
    <row r="162" spans="3:4" ht="9" customHeight="1">
      <c r="C162" s="578" t="s">
        <v>3284</v>
      </c>
      <c r="D162" s="1127">
        <v>36800</v>
      </c>
    </row>
    <row r="163" spans="3:4" ht="9" customHeight="1">
      <c r="C163" s="578" t="s">
        <v>3286</v>
      </c>
      <c r="D163" s="1127">
        <v>43800</v>
      </c>
    </row>
    <row r="164" spans="3:4" ht="9" customHeight="1">
      <c r="C164" s="578" t="s">
        <v>3288</v>
      </c>
      <c r="D164" s="1127">
        <v>43800</v>
      </c>
    </row>
    <row r="165" spans="3:4" ht="9" customHeight="1">
      <c r="C165" s="578" t="s">
        <v>3290</v>
      </c>
      <c r="D165" s="1127">
        <v>34600</v>
      </c>
    </row>
    <row r="166" spans="3:4" ht="9" customHeight="1">
      <c r="C166" s="578" t="s">
        <v>3292</v>
      </c>
      <c r="D166" s="1127">
        <v>44700</v>
      </c>
    </row>
    <row r="167" spans="3:4" ht="9" customHeight="1">
      <c r="C167" s="578" t="s">
        <v>1462</v>
      </c>
      <c r="D167" s="1127">
        <v>37300</v>
      </c>
    </row>
    <row r="168" spans="3:4" ht="9" customHeight="1">
      <c r="C168" s="578" t="s">
        <v>1464</v>
      </c>
      <c r="D168" s="1127">
        <v>40500</v>
      </c>
    </row>
    <row r="169" spans="3:4" ht="9" customHeight="1">
      <c r="C169" s="577" t="s">
        <v>2664</v>
      </c>
      <c r="D169" s="1127">
        <v>49300</v>
      </c>
    </row>
    <row r="170" spans="3:4" ht="9" customHeight="1">
      <c r="C170" s="577" t="s">
        <v>2979</v>
      </c>
      <c r="D170" s="1127">
        <v>48600</v>
      </c>
    </row>
    <row r="171" spans="3:4" ht="9" customHeight="1">
      <c r="C171" s="577" t="s">
        <v>2981</v>
      </c>
      <c r="D171" s="1127">
        <v>42900</v>
      </c>
    </row>
    <row r="172" spans="3:4" ht="9" customHeight="1">
      <c r="C172" s="577" t="s">
        <v>2983</v>
      </c>
      <c r="D172" s="1127">
        <v>46400</v>
      </c>
    </row>
    <row r="173" spans="3:4" ht="9" customHeight="1">
      <c r="C173" s="577" t="s">
        <v>2985</v>
      </c>
      <c r="D173" s="1127">
        <v>40700</v>
      </c>
    </row>
    <row r="174" spans="3:4" ht="9" customHeight="1">
      <c r="C174" s="578" t="s">
        <v>2987</v>
      </c>
      <c r="D174" s="1127">
        <v>51700</v>
      </c>
    </row>
    <row r="175" spans="3:4" ht="9" customHeight="1">
      <c r="C175" s="577" t="s">
        <v>2989</v>
      </c>
      <c r="D175" s="1127">
        <v>39100</v>
      </c>
    </row>
    <row r="176" spans="3:4" ht="9" customHeight="1">
      <c r="C176" s="577" t="s">
        <v>2992</v>
      </c>
      <c r="D176" s="1127">
        <v>49500</v>
      </c>
    </row>
    <row r="177" spans="3:4" ht="9" customHeight="1">
      <c r="C177" s="578" t="s">
        <v>3086</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3631</v>
      </c>
      <c r="D185" s="1127">
        <v>43500</v>
      </c>
    </row>
    <row r="186" spans="3:4" ht="9" customHeight="1">
      <c r="C186" s="577" t="s">
        <v>3633</v>
      </c>
      <c r="D186" s="1127">
        <v>45100</v>
      </c>
    </row>
    <row r="187" spans="3:4" ht="9" customHeight="1">
      <c r="C187" s="577" t="s">
        <v>3635</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1" workbookViewId="0">
      <selection activeCell="B1"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Heritage Vista Apartments</v>
      </c>
    </row>
    <row r="3" spans="1:2">
      <c r="A3" s="748" t="str">
        <f>CONCATENATE('Part I-Project Information'!F24,", ", 'Part I-Project Information'!J25," County")</f>
        <v>Milledgeville, Baldwin County</v>
      </c>
    </row>
    <row r="4" spans="1:2" ht="12" customHeight="1"/>
    <row r="5" spans="1:2" ht="111" customHeight="1">
      <c r="A5" s="748" t="str">
        <f>'Project Narrative'!A5</f>
        <v xml:space="preserve">Heritage Vista Apartments is a proposed 64 unit apartment community located on a 14.97 acre parcel, a portion of which is located in the City of Milledgeville, however the residential units will be located in unincorporated Baldwin County.  The project will be located on an elevated site that will provide visibility from US Hwy 441 and is close to goods and services. The site is accessed from Heritage Place ,a dead end street with traffic control at the intersection with Hwy 441.  Wal-Mart is located directly across Hwy 441 and goods and servies abound. Restaurants, banking, daycare and shopping are all easily accesible from the site.  Milledgeville and Baldwin County have begun to recover from the recent economic downturn.  An aerospace company has just announced it will create 250 new jobs and Kroger is building a large center just to the north of the site.  Georgia College continues to be a strong economic engine for the area and continues to fuel growth in the community.  </v>
      </c>
      <c r="B5" s="748" t="s">
        <v>1592</v>
      </c>
    </row>
    <row r="6" spans="1:2" ht="6.6" customHeight="1"/>
    <row r="7" spans="1:2" ht="111" customHeight="1">
      <c r="A7" s="748" t="str">
        <f>'Project Narrative'!A7</f>
        <v>The buildings will be Earthcraft Multifamily certified and will offer residents unparallelled energy efficient units to minimize utility costs.  The project will offer residents a community building, on site laundry, gazebo, playground and a computer center. Unit amenities will include energy star appliances, ceiling fans and washer and dryer connections in each unit. The Baldwin County Commission voted unanimously to support Heritage Vista Apartments and were pleased with the benefits the site offered residents and the safety afforded by having traffic control at the intersection of Heritage Place and Hwy 441.</v>
      </c>
    </row>
    <row r="8" spans="1:2" ht="6.6" customHeight="1"/>
    <row r="9" spans="1:2" ht="111" customHeight="1">
      <c r="A9" s="748">
        <f>'Project Narrative'!A9</f>
        <v>0</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4045</v>
      </c>
      <c r="M32" s="748" t="s">
        <v>2730</v>
      </c>
    </row>
    <row r="33" spans="1:15" ht="12" customHeight="1">
      <c r="E33" s="748" t="s">
        <v>4046</v>
      </c>
      <c r="O33" s="748" t="str">
        <f>'Part I-Project Information'!$O$4</f>
        <v>2011-020</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Allan Rappuhn</v>
      </c>
      <c r="M42" s="748" t="s">
        <v>3057</v>
      </c>
      <c r="N42" s="748" t="str">
        <f>'Part I-Project Information'!N13</f>
        <v>CEO</v>
      </c>
    </row>
    <row r="43" spans="1:15" ht="13.15" customHeight="1">
      <c r="C43" s="748" t="s">
        <v>3058</v>
      </c>
      <c r="F43" s="748" t="str">
        <f>'Part I-Project Information'!$F$14</f>
        <v>920 Florence Blvd</v>
      </c>
      <c r="M43" s="748" t="s">
        <v>2747</v>
      </c>
      <c r="O43" s="748">
        <f>'Part I-Project Information'!O14</f>
        <v>2567609657</v>
      </c>
    </row>
    <row r="44" spans="1:15" ht="13.15" customHeight="1">
      <c r="C44" s="748" t="s">
        <v>954</v>
      </c>
      <c r="F44" s="748" t="str">
        <f>'Part I-Project Information'!$F$15</f>
        <v>Florence</v>
      </c>
      <c r="M44" s="748" t="s">
        <v>2834</v>
      </c>
      <c r="O44" s="748">
        <f>'Part I-Project Information'!O15</f>
        <v>2567675804</v>
      </c>
    </row>
    <row r="45" spans="1:15" ht="13.15" customHeight="1">
      <c r="C45" s="748" t="s">
        <v>2831</v>
      </c>
      <c r="F45" s="748" t="str">
        <f>'Part I-Project Information'!$F$16</f>
        <v>AL</v>
      </c>
      <c r="I45" s="748" t="s">
        <v>3354</v>
      </c>
      <c r="J45" s="748">
        <f>'Part I-Project Information'!J16</f>
        <v>356307371</v>
      </c>
      <c r="M45" s="748" t="s">
        <v>3056</v>
      </c>
      <c r="O45" s="748">
        <f>'Part I-Project Information'!O16</f>
        <v>2563354030</v>
      </c>
    </row>
    <row r="46" spans="1:15" ht="13.15" customHeight="1">
      <c r="C46" s="748" t="s">
        <v>2746</v>
      </c>
      <c r="F46" s="748">
        <f>'Part I-Project Information'!F17</f>
        <v>2567609657</v>
      </c>
      <c r="I46" s="748" t="s">
        <v>2745</v>
      </c>
      <c r="J46" s="748">
        <f>'Part I-Project Information'!J17</f>
        <v>0</v>
      </c>
      <c r="K46" s="748" t="s">
        <v>3061</v>
      </c>
      <c r="L46" s="748" t="str">
        <f>'Part I-Project Information'!L17</f>
        <v>arappuhn@gatewaymgt.com</v>
      </c>
    </row>
    <row r="47" spans="1:15" ht="13.15" customHeight="1">
      <c r="C47" s="748" t="s">
        <v>998</v>
      </c>
    </row>
    <row r="48" spans="1:15" ht="7.15" customHeight="1"/>
    <row r="49" spans="1:16" ht="13.15" customHeight="1">
      <c r="A49" s="748" t="s">
        <v>2824</v>
      </c>
      <c r="C49" s="748" t="s">
        <v>2208</v>
      </c>
    </row>
    <row r="50" spans="1:16" ht="3" customHeight="1"/>
    <row r="51" spans="1:16" ht="13.15" customHeight="1">
      <c r="C51" s="748" t="s">
        <v>952</v>
      </c>
      <c r="F51" s="748" t="str">
        <f>'Part I-Project Information'!F22</f>
        <v>Heritage Vista Apartments</v>
      </c>
      <c r="M51" s="748" t="s">
        <v>3300</v>
      </c>
      <c r="O51" s="748" t="str">
        <f>'Part I-Project Information'!O22</f>
        <v>No</v>
      </c>
    </row>
    <row r="52" spans="1:16" ht="13.15" customHeight="1">
      <c r="C52" s="748" t="s">
        <v>953</v>
      </c>
      <c r="F52" s="748" t="str">
        <f>'Part I-Project Information'!F23</f>
        <v>3029 Heritage Place</v>
      </c>
      <c r="M52" s="748" t="s">
        <v>3146</v>
      </c>
      <c r="O52" s="748" t="str">
        <f>'Part I-Project Information'!O23</f>
        <v>No</v>
      </c>
    </row>
    <row r="53" spans="1:16" ht="13.15" customHeight="1">
      <c r="C53" s="748" t="s">
        <v>954</v>
      </c>
      <c r="F53" s="748" t="str">
        <f>'Part I-Project Information'!F24</f>
        <v>Milledgeville</v>
      </c>
      <c r="I53" s="748" t="s">
        <v>4047</v>
      </c>
      <c r="J53" s="748">
        <f>'Part I-Project Information'!J24</f>
        <v>316019208</v>
      </c>
      <c r="L53" s="748" t="str">
        <f>IF(AND(NOT(F51=""),NOT(F53="Select from list"),J53=""),"Enter Zip!","")</f>
        <v/>
      </c>
      <c r="M53" s="748" t="s">
        <v>3416</v>
      </c>
      <c r="O53" s="748">
        <f>'Part I-Project Information'!O24</f>
        <v>14.97</v>
      </c>
    </row>
    <row r="54" spans="1:16" ht="13.15" customHeight="1">
      <c r="C54" s="748" t="s">
        <v>3145</v>
      </c>
      <c r="F54" s="748" t="str">
        <f>'Part I-Project Information'!F25</f>
        <v>No</v>
      </c>
      <c r="I54" s="748" t="s">
        <v>955</v>
      </c>
      <c r="J54" s="748" t="str">
        <f>'Part I-Project Information'!J25</f>
        <v>Baldwin</v>
      </c>
      <c r="M54" s="748" t="s">
        <v>3435</v>
      </c>
      <c r="O54" s="748">
        <f>'Part I-Project Information'!O25</f>
        <v>9703</v>
      </c>
    </row>
    <row r="55" spans="1:16" ht="13.15" customHeight="1">
      <c r="C55" s="748" t="s">
        <v>2314</v>
      </c>
      <c r="F55" s="748" t="str">
        <f>'Part I-Project Information'!F26</f>
        <v>No</v>
      </c>
      <c r="I55" s="748" t="s">
        <v>886</v>
      </c>
      <c r="J55" s="748" t="str">
        <f>'Part I-Project Information'!J26</f>
        <v>Baldwin Co.</v>
      </c>
      <c r="M55" s="748" t="s">
        <v>666</v>
      </c>
      <c r="N55" s="748" t="str">
        <f>'Part I-Project Information'!N26</f>
        <v>No</v>
      </c>
      <c r="O55" s="748" t="s">
        <v>667</v>
      </c>
      <c r="P55" s="748" t="str">
        <f>'Part I-Project Information'!P26</f>
        <v>No</v>
      </c>
    </row>
    <row r="56" spans="1:16" ht="3" customHeight="1"/>
    <row r="57" spans="1:16" ht="13.15" customHeight="1">
      <c r="F57" s="748" t="s">
        <v>4048</v>
      </c>
      <c r="H57" s="748" t="s">
        <v>1226</v>
      </c>
      <c r="J57" s="748" t="s">
        <v>1227</v>
      </c>
    </row>
    <row r="58" spans="1:16" ht="13.15" customHeight="1">
      <c r="C58" s="748" t="s">
        <v>956</v>
      </c>
      <c r="F58" s="748">
        <f>'Part I-Project Information'!F29</f>
        <v>12</v>
      </c>
      <c r="H58" s="748">
        <f>'Part I-Project Information'!H29</f>
        <v>25</v>
      </c>
      <c r="J58" s="748">
        <f>'Part I-Project Information'!J29</f>
        <v>141</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Baldwin County</v>
      </c>
    </row>
    <row r="62" spans="1:16" ht="13.15" customHeight="1">
      <c r="C62" s="748" t="s">
        <v>975</v>
      </c>
      <c r="F62" s="748" t="str">
        <f>'Part I-Project Information'!F33</f>
        <v>Linda Fussell</v>
      </c>
      <c r="K62" s="748" t="s">
        <v>3057</v>
      </c>
      <c r="L62" s="748" t="str">
        <f>'Part I-Project Information'!L33</f>
        <v>Commissioner</v>
      </c>
    </row>
    <row r="63" spans="1:16" ht="13.15" customHeight="1">
      <c r="C63" s="748" t="s">
        <v>3058</v>
      </c>
      <c r="F63" s="748" t="str">
        <f>'Part I-Project Information'!F34</f>
        <v>121 N. Wilkinson Street</v>
      </c>
      <c r="K63" s="748" t="s">
        <v>954</v>
      </c>
      <c r="L63" s="748" t="str">
        <f>'Part I-Project Information'!L34</f>
        <v>Milledgeville</v>
      </c>
    </row>
    <row r="64" spans="1:16" ht="13.15" customHeight="1">
      <c r="C64" s="748" t="s">
        <v>3354</v>
      </c>
      <c r="F64" s="748">
        <f>'Part I-Project Information'!F35</f>
        <v>316011200</v>
      </c>
      <c r="H64" s="748" t="s">
        <v>3059</v>
      </c>
      <c r="I64" s="748">
        <f>'Part I-Project Information'!I35</f>
        <v>4784517105</v>
      </c>
      <c r="L64" s="748" t="s">
        <v>2834</v>
      </c>
      <c r="M64" s="748">
        <f>'Part I-Project Information'!M35</f>
        <v>0</v>
      </c>
    </row>
    <row r="65" spans="1:16" ht="7.15" customHeight="1"/>
    <row r="66" spans="1:16" ht="13.15" customHeight="1">
      <c r="A66" s="748" t="s">
        <v>2826</v>
      </c>
      <c r="C66" s="748" t="s">
        <v>2209</v>
      </c>
      <c r="J66" s="748" t="s">
        <v>4049</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64</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63</v>
      </c>
      <c r="K78" s="748" t="s">
        <v>3444</v>
      </c>
      <c r="P78" s="748">
        <f>'Part VI-Revenues &amp; Expenses'!$M$94</f>
        <v>67296</v>
      </c>
    </row>
    <row r="79" spans="1:16" ht="13.15" customHeight="1">
      <c r="D79" s="748" t="s">
        <v>490</v>
      </c>
      <c r="H79" s="748">
        <f>'Part VI-Revenues &amp; Expenses'!$M$58</f>
        <v>13</v>
      </c>
      <c r="I79" s="748">
        <f>'Part VI-Revenues &amp; Expenses'!$M$66</f>
        <v>0</v>
      </c>
      <c r="K79" s="748" t="s">
        <v>326</v>
      </c>
      <c r="P79" s="748">
        <f>'Part VI-Revenues &amp; Expenses'!$M$95</f>
        <v>0</v>
      </c>
    </row>
    <row r="80" spans="1:16" ht="13.15" customHeight="1">
      <c r="D80" s="748" t="s">
        <v>2864</v>
      </c>
      <c r="H80" s="748">
        <f>'Part VI-Revenues &amp; Expenses'!$M$57</f>
        <v>50</v>
      </c>
      <c r="I80" s="748">
        <f>'Part VI-Revenues &amp; Expenses'!$M$65</f>
        <v>0</v>
      </c>
      <c r="K80" s="748" t="s">
        <v>3445</v>
      </c>
      <c r="P80" s="748">
        <f>+P78+P79</f>
        <v>67296</v>
      </c>
    </row>
    <row r="81" spans="1:16" ht="13.15" customHeight="1">
      <c r="C81" s="748" t="s">
        <v>327</v>
      </c>
      <c r="H81" s="748">
        <f>'Part VI-Revenues &amp; Expenses'!$M$60</f>
        <v>0</v>
      </c>
      <c r="K81" s="748" t="s">
        <v>2134</v>
      </c>
      <c r="P81" s="748">
        <f>'Part VI-Revenues &amp; Expenses'!$M$97</f>
        <v>1056</v>
      </c>
    </row>
    <row r="82" spans="1:16" ht="13.15" customHeight="1">
      <c r="C82" s="748" t="s">
        <v>3650</v>
      </c>
      <c r="H82" s="748">
        <f>+H78+H81</f>
        <v>63</v>
      </c>
      <c r="K82" s="748" t="s">
        <v>2133</v>
      </c>
      <c r="P82" s="748">
        <f>+P80+P81</f>
        <v>68352</v>
      </c>
    </row>
    <row r="83" spans="1:16" ht="13.15" customHeight="1">
      <c r="C83" s="748" t="s">
        <v>3651</v>
      </c>
      <c r="H83" s="748">
        <f>'Part VI-Revenues &amp; Expenses'!$M$62</f>
        <v>1</v>
      </c>
    </row>
    <row r="84" spans="1:16" ht="13.15" customHeight="1">
      <c r="C84" s="748" t="s">
        <v>2825</v>
      </c>
      <c r="H84" s="748">
        <f>+H82+H83</f>
        <v>64</v>
      </c>
    </row>
    <row r="85" spans="1:16" ht="3" customHeight="1"/>
    <row r="86" spans="1:16" ht="13.15" customHeight="1">
      <c r="B86" s="748" t="s">
        <v>2763</v>
      </c>
      <c r="C86" s="748" t="s">
        <v>3438</v>
      </c>
      <c r="D86" s="748" t="s">
        <v>3074</v>
      </c>
      <c r="H86" s="748">
        <f>'Part I-Project Information'!H57</f>
        <v>8</v>
      </c>
      <c r="K86" s="748" t="s">
        <v>1760</v>
      </c>
      <c r="P86" s="748">
        <f>'Part I-Project Information'!P57</f>
        <v>1457</v>
      </c>
    </row>
    <row r="87" spans="1:16" ht="13.15" customHeight="1">
      <c r="D87" s="748" t="s">
        <v>3075</v>
      </c>
      <c r="H87" s="748">
        <f>'Part I-Project Information'!H58</f>
        <v>1</v>
      </c>
      <c r="K87" s="748" t="s">
        <v>325</v>
      </c>
      <c r="P87" s="748">
        <f>+P82+P86</f>
        <v>69809</v>
      </c>
    </row>
    <row r="88" spans="1:16" ht="13.15" customHeight="1">
      <c r="D88" s="748" t="s">
        <v>3076</v>
      </c>
      <c r="H88" s="748">
        <f>+H86+H87</f>
        <v>9</v>
      </c>
    </row>
    <row r="89" spans="1:16" ht="3" customHeight="1"/>
    <row r="90" spans="1:16" ht="13.15" customHeight="1">
      <c r="B90" s="748" t="s">
        <v>2764</v>
      </c>
      <c r="C90" s="748" t="s">
        <v>3600</v>
      </c>
      <c r="H90" s="748">
        <f>'Part I-Project Information'!H61</f>
        <v>128</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Family</v>
      </c>
      <c r="K94" s="748" t="s">
        <v>2802</v>
      </c>
      <c r="N94" s="748">
        <f>'Part I-Project Information'!N65</f>
        <v>0</v>
      </c>
    </row>
    <row r="95" spans="1:16" ht="3" customHeight="1"/>
    <row r="96" spans="1:16" ht="13.15" customHeight="1">
      <c r="B96" s="748" t="s">
        <v>3063</v>
      </c>
      <c r="C96" s="748" t="s">
        <v>2122</v>
      </c>
      <c r="G96" s="748" t="s">
        <v>1379</v>
      </c>
      <c r="H96" s="748">
        <f>'Part I-Project Information'!H67</f>
        <v>4</v>
      </c>
      <c r="K96" s="748" t="s">
        <v>813</v>
      </c>
      <c r="P96" s="748">
        <f>IF('Part VI-Revenues &amp; Expenses'!$M$63=0,0,$H96/'Part VI-Revenues &amp; Expenses'!$M$63)</f>
        <v>6.25E-2</v>
      </c>
    </row>
    <row r="97" spans="1:16" ht="3" customHeight="1"/>
    <row r="98" spans="1:16" ht="13.15" customHeight="1">
      <c r="B98" s="748" t="s">
        <v>1239</v>
      </c>
      <c r="C98" s="748" t="s">
        <v>2891</v>
      </c>
      <c r="G98" s="748" t="s">
        <v>1379</v>
      </c>
      <c r="H98" s="748">
        <f>'Part I-Project Information'!H69</f>
        <v>2</v>
      </c>
      <c r="K98" s="748" t="s">
        <v>813</v>
      </c>
      <c r="P98" s="748">
        <f>IF('Part VI-Revenues &amp; Expenses'!$M$63=0,0,$H98/'Part VI-Revenues &amp; Expenses'!$M$63)</f>
        <v>3.125E-2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t="str">
        <f>'Part I-Project Information'!P77</f>
        <v>Yes</v>
      </c>
    </row>
    <row r="107" spans="1:16" ht="9" customHeight="1"/>
    <row r="108" spans="1:16" ht="13.15" customHeight="1">
      <c r="A108" s="748" t="s">
        <v>386</v>
      </c>
      <c r="C108" s="748" t="s">
        <v>3133</v>
      </c>
    </row>
    <row r="109" spans="1:16" ht="3" customHeight="1"/>
    <row r="110" spans="1:16" ht="13.15" customHeight="1">
      <c r="E110" s="748" t="str">
        <f>'Part I-Project Information'!E81</f>
        <v>No</v>
      </c>
      <c r="F110" s="748" t="s">
        <v>3914</v>
      </c>
      <c r="H110" s="748" t="str">
        <f>'Part I-Project Information'!H81</f>
        <v>Yes</v>
      </c>
      <c r="I110" s="748" t="s">
        <v>3913</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3233</v>
      </c>
      <c r="K111" s="748" t="str">
        <f>'Part I-Project Information'!K82</f>
        <v>No</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2831</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2834</v>
      </c>
      <c r="I119" s="748">
        <f>'Part I-Project Information'!I90</f>
        <v>0</v>
      </c>
      <c r="K119" s="748" t="s">
        <v>2835</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2</v>
      </c>
    </row>
    <row r="126" spans="1:15" ht="3.6" customHeight="1"/>
    <row r="127" spans="1:15" ht="13.15" customHeight="1">
      <c r="B127" s="748" t="s">
        <v>3063</v>
      </c>
      <c r="C127" s="748" t="s">
        <v>526</v>
      </c>
      <c r="H127" s="748">
        <f>'Part I-Project Information'!H98</f>
        <v>1470875</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Gateway Construction / DASH Development</v>
      </c>
      <c r="F131" s="748" t="str">
        <f>'Part I-Project Information'!F102</f>
        <v>Stony Ridge Apartments</v>
      </c>
      <c r="J131" s="748">
        <f>'Part I-Project Information'!J102</f>
        <v>8</v>
      </c>
      <c r="M131" s="748">
        <f>'Part I-Project Information'!M102</f>
        <v>0</v>
      </c>
    </row>
    <row r="132" spans="2:13" ht="13.15" customHeight="1">
      <c r="C132" s="748" t="str">
        <f>'Part I-Project Information'!C103</f>
        <v>Gateway Construction / DASH Development</v>
      </c>
      <c r="F132" s="748" t="str">
        <f>'Part I-Project Information'!F103</f>
        <v>Heritage Vista Apartments</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t="str">
        <f>'Part I-Project Information'!H121</f>
        <v>No</v>
      </c>
    </row>
    <row r="151" spans="1:15" ht="3" customHeight="1"/>
    <row r="152" spans="1:15" ht="13.15" customHeight="1">
      <c r="B152" s="748" t="s">
        <v>3060</v>
      </c>
      <c r="C152" s="748" t="s">
        <v>2732</v>
      </c>
      <c r="H152" s="748">
        <f>'Part I-Project Information'!H123</f>
        <v>0</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f>'Part I-Project Information'!H130</f>
        <v>0</v>
      </c>
    </row>
    <row r="160" spans="1:15" ht="3" customHeight="1"/>
    <row r="161" spans="1:16" ht="13.15" customHeight="1">
      <c r="B161" s="748" t="s">
        <v>1239</v>
      </c>
      <c r="C161" s="748" t="s">
        <v>982</v>
      </c>
    </row>
    <row r="162" spans="1:16" ht="13.15" customHeight="1">
      <c r="C162" s="748" t="s">
        <v>4050</v>
      </c>
      <c r="H162" s="748">
        <f>'Part I-Project Information'!H133</f>
        <v>0</v>
      </c>
      <c r="K162" s="748" t="s">
        <v>2287</v>
      </c>
      <c r="O162" s="748">
        <f>'Part I-Project Information'!O133</f>
        <v>0</v>
      </c>
    </row>
    <row r="163" spans="1:16" ht="13.15" customHeight="1">
      <c r="C163" s="748" t="s">
        <v>4051</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3060</v>
      </c>
      <c r="C167" s="748" t="s">
        <v>2865</v>
      </c>
    </row>
    <row r="168" spans="1:16" ht="12.6" customHeight="1">
      <c r="C168" s="748" t="s">
        <v>2279</v>
      </c>
      <c r="K168" s="748" t="str">
        <f>'Part I-Project Information'!K139</f>
        <v>No</v>
      </c>
    </row>
    <row r="169" spans="1:16" ht="12.6" customHeight="1">
      <c r="C169" s="748" t="s">
        <v>950</v>
      </c>
      <c r="K169" s="748">
        <f>'Part I-Project Information'!K140</f>
        <v>0</v>
      </c>
      <c r="L169" s="748" t="s">
        <v>2827</v>
      </c>
      <c r="P169" s="748">
        <f>IF('Part VI-Revenues &amp; Expenses'!$M$61=0,0,$K169/'Part VI-Revenues &amp; Expenses'!$M$61)</f>
        <v>0</v>
      </c>
    </row>
    <row r="170" spans="1:16" ht="12.6" customHeight="1">
      <c r="C170" s="748" t="s">
        <v>3274</v>
      </c>
      <c r="K170" s="748">
        <f>'Part I-Project Information'!K141</f>
        <v>0</v>
      </c>
      <c r="L170" s="748" t="s">
        <v>2827</v>
      </c>
      <c r="P170" s="748">
        <f>IF('Part VI-Revenues &amp; Expenses'!$M$61=0,0,$K170/'Part VI-Revenues &amp; Expenses'!$M$61)</f>
        <v>0</v>
      </c>
    </row>
    <row r="171" spans="1:16" ht="12.6" customHeight="1">
      <c r="C171" s="748" t="s">
        <v>2828</v>
      </c>
      <c r="E171" s="748">
        <f>'Part I-Project Information'!E142</f>
        <v>0</v>
      </c>
      <c r="L171" s="748" t="s">
        <v>2829</v>
      </c>
      <c r="M171" s="748">
        <f>'Part I-Project Information'!M142</f>
        <v>0</v>
      </c>
    </row>
    <row r="172" spans="1:16" ht="12.6" customHeight="1">
      <c r="C172" s="748" t="s">
        <v>2830</v>
      </c>
      <c r="E172" s="748">
        <f>'Part I-Project Information'!E143</f>
        <v>0</v>
      </c>
      <c r="L172" s="748" t="s">
        <v>2832</v>
      </c>
      <c r="M172" s="748">
        <f>'Part I-Project Information'!M143</f>
        <v>0</v>
      </c>
    </row>
    <row r="173" spans="1:16" ht="12.6" customHeight="1">
      <c r="C173" s="748" t="s">
        <v>954</v>
      </c>
      <c r="E173" s="748">
        <f>'Part I-Project Information'!E144</f>
        <v>0</v>
      </c>
      <c r="I173" s="748" t="s">
        <v>3354</v>
      </c>
      <c r="J173" s="748">
        <f>'Part I-Project Information'!J144</f>
        <v>0</v>
      </c>
      <c r="L173" s="748" t="s">
        <v>2835</v>
      </c>
      <c r="M173" s="748">
        <f>'Part I-Project Information'!M144</f>
        <v>0</v>
      </c>
    </row>
    <row r="174" spans="1:16" ht="12.6" customHeight="1">
      <c r="C174" s="748" t="s">
        <v>2833</v>
      </c>
      <c r="E174" s="748">
        <f>'Part I-Project Information'!E145</f>
        <v>0</v>
      </c>
      <c r="H174" s="748" t="s">
        <v>2834</v>
      </c>
      <c r="I174" s="748">
        <f>'Part I-Project Information'!I145</f>
        <v>0</v>
      </c>
      <c r="L174" s="748" t="s">
        <v>3056</v>
      </c>
      <c r="M174" s="748">
        <f>'Part I-Project Information'!M145</f>
        <v>0</v>
      </c>
    </row>
    <row r="175" spans="1:16" ht="1.9" customHeight="1"/>
    <row r="176" spans="1:16" ht="12.6" customHeight="1">
      <c r="B176" s="748" t="s">
        <v>3063</v>
      </c>
      <c r="C176" s="748" t="s">
        <v>2373</v>
      </c>
      <c r="I176" s="748" t="str">
        <f>'Part I-Project Information'!I147</f>
        <v>No</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2823</v>
      </c>
      <c r="I183" s="748" t="e">
        <f>IF(I181="","",I182/I181)</f>
        <v>#DIV/0!</v>
      </c>
    </row>
    <row r="184" spans="2:16" ht="1.9" customHeight="1"/>
    <row r="185" spans="2:16" ht="13.15" customHeight="1">
      <c r="B185" s="748" t="s">
        <v>2763</v>
      </c>
      <c r="C185" s="748" t="s">
        <v>2374</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2376</v>
      </c>
      <c r="P187" s="748" t="str">
        <f>'Part I-Project Information'!P158</f>
        <v>No</v>
      </c>
    </row>
    <row r="188" spans="2:16" ht="12.6" customHeight="1">
      <c r="C188" s="748" t="s">
        <v>1980</v>
      </c>
      <c r="I188" s="748" t="str">
        <f>'Part I-Project Information'!I159</f>
        <v>Yes</v>
      </c>
      <c r="L188" s="748" t="s">
        <v>2545</v>
      </c>
      <c r="P188" s="748" t="str">
        <f>'Part I-Project Information'!P159</f>
        <v>No</v>
      </c>
    </row>
    <row r="189" spans="2:16" ht="12.6" customHeight="1">
      <c r="C189" s="748" t="s">
        <v>2375</v>
      </c>
      <c r="I189" s="748" t="str">
        <f>'Part I-Project Information'!I160</f>
        <v>Yes</v>
      </c>
      <c r="L189" s="748" t="s">
        <v>2290</v>
      </c>
      <c r="P189" s="748" t="str">
        <f>'Part I-Project Information'!P160</f>
        <v>No</v>
      </c>
    </row>
    <row r="190" spans="2:16" ht="12.6" customHeight="1">
      <c r="C190" s="748" t="s">
        <v>2377</v>
      </c>
      <c r="I190" s="748" t="str">
        <f>'Part I-Project Information'!I161</f>
        <v>Yes</v>
      </c>
    </row>
    <row r="191" spans="2:16" ht="12.6" customHeight="1">
      <c r="C191" s="748" t="s">
        <v>2845</v>
      </c>
      <c r="I191" s="748" t="str">
        <f>'Part I-Project Information'!I162</f>
        <v>No</v>
      </c>
      <c r="J191" s="748" t="s">
        <v>3374</v>
      </c>
      <c r="O191" s="748">
        <f>'Part I-Project Information'!O162</f>
        <v>0</v>
      </c>
    </row>
    <row r="192" spans="2:16" ht="12.6" customHeight="1">
      <c r="C192" s="748" t="s">
        <v>3410</v>
      </c>
      <c r="E192" s="748">
        <f>'Part I-Project Information'!E163</f>
        <v>0</v>
      </c>
      <c r="I192" s="748">
        <f>'Part I-Project Information'!I163</f>
        <v>0</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41364</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2011-020 Heritage Vista Apartments,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Heritage Vista Apartments, LP</v>
      </c>
      <c r="O209" s="748" t="s">
        <v>3067</v>
      </c>
      <c r="Q209" s="748" t="str">
        <f>'Part II-Development Team'!Q5</f>
        <v>Allan Rappuhn</v>
      </c>
    </row>
    <row r="210" spans="2:17" ht="12.6" customHeight="1">
      <c r="E210" s="748" t="s">
        <v>1642</v>
      </c>
      <c r="H210" s="748" t="str">
        <f>'Part II-Development Team'!H6</f>
        <v>920 Florence Blvd</v>
      </c>
      <c r="O210" s="748" t="s">
        <v>2776</v>
      </c>
      <c r="Q210" s="748" t="str">
        <f>'Part II-Development Team'!Q6</f>
        <v>General Partner</v>
      </c>
    </row>
    <row r="211" spans="2:17" ht="12.6" customHeight="1">
      <c r="E211" s="748" t="s">
        <v>954</v>
      </c>
      <c r="H211" s="748" t="str">
        <f>'Part II-Development Team'!H7</f>
        <v>Florence</v>
      </c>
      <c r="K211" s="748" t="s">
        <v>1255</v>
      </c>
      <c r="L211" s="748" t="str">
        <f>'Part II-Development Team'!L7</f>
        <v>applied for</v>
      </c>
      <c r="O211" s="748" t="s">
        <v>2835</v>
      </c>
      <c r="Q211" s="748">
        <f>'Part II-Development Team'!Q7</f>
        <v>0</v>
      </c>
    </row>
    <row r="212" spans="2:17" ht="12.6" customHeight="1">
      <c r="E212" s="748" t="s">
        <v>2831</v>
      </c>
      <c r="H212" s="748" t="str">
        <f>'Part II-Development Team'!H8</f>
        <v>AL</v>
      </c>
      <c r="I212" s="748" t="s">
        <v>4052</v>
      </c>
      <c r="J212" s="748">
        <f>'Part II-Development Team'!J8</f>
        <v>256303731</v>
      </c>
      <c r="L212" s="748" t="s">
        <v>4053</v>
      </c>
      <c r="N212" s="748" t="str">
        <f>'Part II-Development Team'!N8</f>
        <v>AL-5</v>
      </c>
      <c r="O212" s="748" t="s">
        <v>3056</v>
      </c>
      <c r="Q212" s="748">
        <f>'Part II-Development Team'!Q8</f>
        <v>2563354030</v>
      </c>
    </row>
    <row r="213" spans="2:17" ht="12.6" customHeight="1">
      <c r="E213" s="748" t="s">
        <v>3062</v>
      </c>
      <c r="H213" s="748">
        <f>'Part II-Development Team'!H9</f>
        <v>2567609657</v>
      </c>
      <c r="J213" s="748">
        <f>'Part II-Development Team'!J9</f>
        <v>0</v>
      </c>
      <c r="K213" s="748" t="s">
        <v>2834</v>
      </c>
      <c r="L213" s="748">
        <f>'Part II-Development Team'!L9</f>
        <v>2567675804</v>
      </c>
      <c r="N213" s="748" t="s">
        <v>3061</v>
      </c>
      <c r="O213" s="748" t="str">
        <f>'Part II-Development Team'!O9</f>
        <v>arappuhn@gatewaymgt.com</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Gateway Heritage Vista, LLC</v>
      </c>
      <c r="O220" s="748" t="s">
        <v>3067</v>
      </c>
      <c r="Q220" s="748" t="str">
        <f>'Part II-Development Team'!Q16</f>
        <v>Allan Rappuhn</v>
      </c>
    </row>
    <row r="221" spans="2:17" ht="12.6" customHeight="1">
      <c r="E221" s="748" t="s">
        <v>1642</v>
      </c>
      <c r="H221" s="748" t="str">
        <f>'Part II-Development Team'!H17</f>
        <v>920 Florence Blvd</v>
      </c>
      <c r="O221" s="748" t="s">
        <v>2776</v>
      </c>
      <c r="Q221" s="748" t="str">
        <f>'Part II-Development Team'!Q17</f>
        <v>Managing Member</v>
      </c>
    </row>
    <row r="222" spans="2:17" ht="12.6" customHeight="1">
      <c r="E222" s="748" t="s">
        <v>954</v>
      </c>
      <c r="H222" s="748" t="str">
        <f>'Part II-Development Team'!H18</f>
        <v>Florence</v>
      </c>
      <c r="O222" s="748" t="s">
        <v>2835</v>
      </c>
      <c r="Q222" s="748">
        <f>'Part II-Development Team'!Q18</f>
        <v>0</v>
      </c>
    </row>
    <row r="223" spans="2:17" ht="12.6" customHeight="1">
      <c r="E223" s="748" t="s">
        <v>2831</v>
      </c>
      <c r="H223" s="748" t="str">
        <f>'Part II-Development Team'!H19</f>
        <v>AL</v>
      </c>
      <c r="I223" s="748" t="s">
        <v>4052</v>
      </c>
      <c r="J223" s="748">
        <f>'Part II-Development Team'!J19</f>
        <v>356303731</v>
      </c>
      <c r="L223" s="748" t="s">
        <v>4053</v>
      </c>
      <c r="N223" s="748" t="str">
        <f>'Part II-Development Team'!N19</f>
        <v>AL-5</v>
      </c>
      <c r="O223" s="748" t="s">
        <v>3056</v>
      </c>
      <c r="Q223" s="748">
        <f>'Part II-Development Team'!Q19</f>
        <v>2563354030</v>
      </c>
    </row>
    <row r="224" spans="2:17" ht="12.6" customHeight="1">
      <c r="E224" s="748" t="s">
        <v>3062</v>
      </c>
      <c r="H224" s="748">
        <f>'Part II-Development Team'!H20</f>
        <v>2567609657</v>
      </c>
      <c r="J224" s="748">
        <f>'Part II-Development Team'!J20</f>
        <v>0</v>
      </c>
      <c r="K224" s="748" t="s">
        <v>2834</v>
      </c>
      <c r="L224" s="748">
        <f>'Part II-Development Team'!L20</f>
        <v>2567675804</v>
      </c>
      <c r="N224" s="748" t="s">
        <v>3061</v>
      </c>
      <c r="O224" s="748" t="str">
        <f>'Part II-Development Team'!O20</f>
        <v>arappuhn@gatewaymgt.com</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2835</v>
      </c>
      <c r="Q228" s="748">
        <f>'Part II-Development Team'!Q24</f>
        <v>0</v>
      </c>
    </row>
    <row r="229" spans="3:17" ht="12.6" customHeight="1">
      <c r="E229" s="748" t="s">
        <v>2831</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2834</v>
      </c>
      <c r="L230" s="748">
        <f>'Part II-Development Team'!L26</f>
        <v>0</v>
      </c>
      <c r="N230" s="748" t="s">
        <v>3061</v>
      </c>
      <c r="O230" s="748">
        <f>'Part II-Development Team'!O26</f>
        <v>0</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2835</v>
      </c>
      <c r="Q234" s="748">
        <f>'Part II-Development Team'!Q30</f>
        <v>0</v>
      </c>
    </row>
    <row r="235" spans="3:17" ht="12.6" customHeight="1">
      <c r="E235" s="748" t="s">
        <v>2831</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2834</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Raymond James Tax Credit Funds</v>
      </c>
      <c r="O240" s="748" t="s">
        <v>3067</v>
      </c>
      <c r="Q240" s="748" t="str">
        <f>'Part II-Development Team'!Q36</f>
        <v>John Colvin</v>
      </c>
    </row>
    <row r="241" spans="3:17" ht="12.6" customHeight="1">
      <c r="E241" s="748" t="s">
        <v>1642</v>
      </c>
      <c r="H241" s="748" t="str">
        <f>'Part II-Development Team'!H37</f>
        <v>880 Carillon Parkway</v>
      </c>
      <c r="O241" s="748" t="s">
        <v>2776</v>
      </c>
      <c r="Q241" s="748" t="str">
        <f>'Part II-Development Team'!Q37</f>
        <v>Director of Acquistions</v>
      </c>
    </row>
    <row r="242" spans="3:17" ht="12.6" customHeight="1">
      <c r="E242" s="748" t="s">
        <v>954</v>
      </c>
      <c r="H242" s="748" t="str">
        <f>'Part II-Development Team'!H38</f>
        <v>St. Petersburg</v>
      </c>
      <c r="O242" s="748" t="s">
        <v>2835</v>
      </c>
      <c r="Q242" s="748">
        <f>'Part II-Development Team'!Q38</f>
        <v>2058030331</v>
      </c>
    </row>
    <row r="243" spans="3:17" ht="12.6" customHeight="1">
      <c r="E243" s="748" t="s">
        <v>2831</v>
      </c>
      <c r="H243" s="748" t="str">
        <f>'Part II-Development Team'!H39</f>
        <v>FL</v>
      </c>
      <c r="I243" s="748" t="s">
        <v>3354</v>
      </c>
      <c r="J243" s="748">
        <f>'Part II-Development Team'!J39</f>
        <v>337161102</v>
      </c>
      <c r="O243" s="748" t="s">
        <v>3056</v>
      </c>
      <c r="Q243" s="748">
        <f>'Part II-Development Team'!Q39</f>
        <v>2055163099</v>
      </c>
    </row>
    <row r="244" spans="3:17" ht="12.6" customHeight="1">
      <c r="E244" s="748" t="s">
        <v>3062</v>
      </c>
      <c r="H244" s="748">
        <f>'Part II-Development Team'!H40</f>
        <v>2058030331</v>
      </c>
      <c r="J244" s="748">
        <f>'Part II-Development Team'!J40</f>
        <v>0</v>
      </c>
      <c r="K244" s="748" t="s">
        <v>2834</v>
      </c>
      <c r="L244" s="748">
        <f>'Part II-Development Team'!L40</f>
        <v>2058030321</v>
      </c>
      <c r="N244" s="748" t="s">
        <v>3061</v>
      </c>
      <c r="O244" s="748" t="str">
        <f>'Part II-Development Team'!O40</f>
        <v>john.colvin@raymondjames.com</v>
      </c>
    </row>
    <row r="245" spans="3:17" ht="4.1500000000000004" customHeight="1"/>
    <row r="246" spans="3:17" ht="12.6" customHeight="1">
      <c r="D246" s="748" t="s">
        <v>3214</v>
      </c>
      <c r="E246" s="748" t="s">
        <v>1241</v>
      </c>
      <c r="H246" s="748" t="str">
        <f>'Part II-Development Team'!H42</f>
        <v>Raymond James Tax Credit Funds</v>
      </c>
      <c r="O246" s="748" t="s">
        <v>3067</v>
      </c>
      <c r="Q246" s="748" t="str">
        <f>'Part II-Development Team'!Q42</f>
        <v>John Colvin</v>
      </c>
    </row>
    <row r="247" spans="3:17" ht="12.6" customHeight="1">
      <c r="E247" s="748" t="s">
        <v>1642</v>
      </c>
      <c r="H247" s="748" t="str">
        <f>'Part II-Development Team'!H43</f>
        <v>880 Carillon Parkway</v>
      </c>
      <c r="O247" s="748" t="s">
        <v>2776</v>
      </c>
      <c r="Q247" s="748" t="str">
        <f>'Part II-Development Team'!Q43</f>
        <v>Director of Acquisitions</v>
      </c>
    </row>
    <row r="248" spans="3:17" ht="12.6" customHeight="1">
      <c r="E248" s="748" t="s">
        <v>954</v>
      </c>
      <c r="H248" s="748" t="str">
        <f>'Part II-Development Team'!H44</f>
        <v>St. Petersburg</v>
      </c>
      <c r="O248" s="748" t="s">
        <v>2835</v>
      </c>
      <c r="Q248" s="748">
        <f>'Part II-Development Team'!Q44</f>
        <v>2058030331</v>
      </c>
    </row>
    <row r="249" spans="3:17" ht="12.6" customHeight="1">
      <c r="E249" s="748" t="s">
        <v>2831</v>
      </c>
      <c r="H249" s="748" t="str">
        <f>'Part II-Development Team'!H45</f>
        <v>FL</v>
      </c>
      <c r="I249" s="748" t="s">
        <v>3354</v>
      </c>
      <c r="J249" s="748">
        <f>'Part II-Development Team'!J45</f>
        <v>337161102</v>
      </c>
      <c r="O249" s="748" t="s">
        <v>3056</v>
      </c>
      <c r="Q249" s="748">
        <f>'Part II-Development Team'!Q45</f>
        <v>2055163099</v>
      </c>
    </row>
    <row r="250" spans="3:17" ht="12.6" customHeight="1">
      <c r="E250" s="748" t="s">
        <v>3062</v>
      </c>
      <c r="H250" s="748">
        <f>'Part II-Development Team'!H46</f>
        <v>2058030331</v>
      </c>
      <c r="J250" s="748">
        <f>'Part II-Development Team'!J46</f>
        <v>0</v>
      </c>
      <c r="K250" s="748" t="s">
        <v>2834</v>
      </c>
      <c r="L250" s="748">
        <f>'Part II-Development Team'!L46</f>
        <v>2058030321</v>
      </c>
      <c r="N250" s="748" t="s">
        <v>3061</v>
      </c>
      <c r="O250" s="748" t="str">
        <f>'Part II-Development Team'!O46</f>
        <v>john.colvin@raymondjames.com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1642</v>
      </c>
      <c r="H255" s="748">
        <f>'Part II-Development Team'!H51</f>
        <v>0</v>
      </c>
      <c r="O255" s="748" t="s">
        <v>2776</v>
      </c>
      <c r="Q255" s="748">
        <f>'Part II-Development Team'!Q51</f>
        <v>0</v>
      </c>
    </row>
    <row r="256" spans="3:17" ht="12.6" customHeight="1">
      <c r="E256" s="748" t="s">
        <v>954</v>
      </c>
      <c r="H256" s="748">
        <f>'Part II-Development Team'!H52</f>
        <v>0</v>
      </c>
      <c r="O256" s="748" t="s">
        <v>2835</v>
      </c>
      <c r="Q256" s="748">
        <f>'Part II-Development Team'!Q52</f>
        <v>0</v>
      </c>
    </row>
    <row r="257" spans="1:17" ht="12.6" customHeight="1">
      <c r="E257" s="748" t="s">
        <v>2831</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2834</v>
      </c>
      <c r="L258" s="748">
        <f>'Part II-Development Team'!L54</f>
        <v>0</v>
      </c>
      <c r="N258" s="748" t="s">
        <v>3061</v>
      </c>
      <c r="O258" s="748">
        <f>'Part II-Development Team'!O54</f>
        <v>0</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Gateway Construction Corporation</v>
      </c>
      <c r="O262" s="748" t="s">
        <v>3067</v>
      </c>
      <c r="Q262" s="748" t="str">
        <f>'Part II-Development Team'!Q58</f>
        <v>Allan Rappuhn</v>
      </c>
    </row>
    <row r="263" spans="1:17" ht="13.15" customHeight="1">
      <c r="E263" s="748" t="s">
        <v>1642</v>
      </c>
      <c r="H263" s="748" t="str">
        <f>'Part II-Development Team'!H59</f>
        <v>920 Florence Blvd</v>
      </c>
      <c r="O263" s="748" t="s">
        <v>2776</v>
      </c>
      <c r="Q263" s="748" t="str">
        <f>'Part II-Development Team'!Q59</f>
        <v>CEO</v>
      </c>
    </row>
    <row r="264" spans="1:17" ht="13.15" customHeight="1">
      <c r="E264" s="748" t="s">
        <v>954</v>
      </c>
      <c r="H264" s="748" t="str">
        <f>'Part II-Development Team'!H60</f>
        <v>Florence</v>
      </c>
      <c r="O264" s="748" t="s">
        <v>2835</v>
      </c>
      <c r="Q264" s="748">
        <f>'Part II-Development Team'!Q60</f>
        <v>0</v>
      </c>
    </row>
    <row r="265" spans="1:17" ht="13.15" customHeight="1">
      <c r="E265" s="748" t="s">
        <v>2831</v>
      </c>
      <c r="H265" s="748" t="str">
        <f>'Part II-Development Team'!H61</f>
        <v>AL</v>
      </c>
      <c r="I265" s="748" t="s">
        <v>3354</v>
      </c>
      <c r="J265" s="748">
        <f>'Part II-Development Team'!J61</f>
        <v>356303731</v>
      </c>
      <c r="O265" s="748" t="s">
        <v>3056</v>
      </c>
      <c r="Q265" s="748">
        <f>'Part II-Development Team'!Q61</f>
        <v>2563354030</v>
      </c>
    </row>
    <row r="266" spans="1:17" ht="13.15" customHeight="1">
      <c r="E266" s="748" t="s">
        <v>3062</v>
      </c>
      <c r="H266" s="748">
        <f>'Part II-Development Team'!H62</f>
        <v>2567609657</v>
      </c>
      <c r="J266" s="748">
        <f>'Part II-Development Team'!J62</f>
        <v>0</v>
      </c>
      <c r="K266" s="748" t="s">
        <v>2834</v>
      </c>
      <c r="L266" s="748">
        <f>'Part II-Development Team'!L62</f>
        <v>2567675804</v>
      </c>
      <c r="N266" s="748" t="s">
        <v>3061</v>
      </c>
      <c r="O266" s="748" t="str">
        <f>'Part II-Development Team'!O62</f>
        <v>arappuhn@gatewaymgt.com</v>
      </c>
    </row>
    <row r="267" spans="1:17" ht="6.6" customHeight="1"/>
    <row r="268" spans="1:17" ht="13.15" customHeight="1">
      <c r="B268" s="748" t="s">
        <v>3063</v>
      </c>
      <c r="C268" s="748" t="s">
        <v>377</v>
      </c>
      <c r="H268" s="748" t="str">
        <f>'Part II-Development Team'!H64</f>
        <v>Gateway Properties, LLC</v>
      </c>
      <c r="O268" s="748" t="s">
        <v>3067</v>
      </c>
      <c r="Q268" s="748" t="str">
        <f>'Part II-Development Team'!Q64</f>
        <v>Allan Rappuhn</v>
      </c>
    </row>
    <row r="269" spans="1:17" ht="13.15" customHeight="1">
      <c r="E269" s="748" t="s">
        <v>1642</v>
      </c>
      <c r="H269" s="748" t="str">
        <f>'Part II-Development Team'!H65</f>
        <v>920 Florence Blvd</v>
      </c>
      <c r="O269" s="748" t="s">
        <v>2776</v>
      </c>
      <c r="Q269" s="748" t="str">
        <f>'Part II-Development Team'!Q65</f>
        <v>Member</v>
      </c>
    </row>
    <row r="270" spans="1:17" ht="13.15" customHeight="1">
      <c r="E270" s="748" t="s">
        <v>954</v>
      </c>
      <c r="H270" s="748" t="str">
        <f>'Part II-Development Team'!H66</f>
        <v>Florence</v>
      </c>
      <c r="O270" s="748" t="s">
        <v>2835</v>
      </c>
      <c r="Q270" s="748">
        <f>'Part II-Development Team'!Q66</f>
        <v>0</v>
      </c>
    </row>
    <row r="271" spans="1:17" ht="13.15" customHeight="1">
      <c r="E271" s="748" t="s">
        <v>2831</v>
      </c>
      <c r="H271" s="748" t="str">
        <f>'Part II-Development Team'!H67</f>
        <v>AL</v>
      </c>
      <c r="I271" s="748" t="s">
        <v>3354</v>
      </c>
      <c r="J271" s="748">
        <f>'Part II-Development Team'!J67</f>
        <v>256303731</v>
      </c>
      <c r="O271" s="748" t="s">
        <v>3056</v>
      </c>
      <c r="Q271" s="748">
        <f>'Part II-Development Team'!Q67</f>
        <v>2563354030</v>
      </c>
    </row>
    <row r="272" spans="1:17" ht="13.15" customHeight="1">
      <c r="E272" s="748" t="s">
        <v>3062</v>
      </c>
      <c r="H272" s="748">
        <f>'Part II-Development Team'!H68</f>
        <v>2567609657</v>
      </c>
      <c r="J272" s="748">
        <f>'Part II-Development Team'!J68</f>
        <v>0</v>
      </c>
      <c r="K272" s="748" t="s">
        <v>2834</v>
      </c>
      <c r="L272" s="748">
        <f>'Part II-Development Team'!L68</f>
        <v>2567675804</v>
      </c>
      <c r="N272" s="748" t="s">
        <v>3061</v>
      </c>
      <c r="O272" s="748" t="str">
        <f>'Part II-Development Team'!O68</f>
        <v>arappuhn@gatewaymgt.com</v>
      </c>
    </row>
    <row r="273" spans="1:17" ht="6.6" customHeight="1"/>
    <row r="274" spans="1:17" ht="13.15" customHeight="1">
      <c r="B274" s="748" t="s">
        <v>1239</v>
      </c>
      <c r="C274" s="748" t="s">
        <v>2280</v>
      </c>
      <c r="H274" s="748">
        <f>'Part II-Development Team'!H70</f>
        <v>0</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2835</v>
      </c>
      <c r="Q276" s="748">
        <f>'Part II-Development Team'!Q72</f>
        <v>0</v>
      </c>
    </row>
    <row r="277" spans="1:17" ht="13.15" customHeight="1">
      <c r="E277" s="748" t="s">
        <v>2831</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2834</v>
      </c>
      <c r="L278" s="748">
        <f>'Part II-Development Team'!L74</f>
        <v>0</v>
      </c>
      <c r="N278" s="748" t="s">
        <v>3061</v>
      </c>
      <c r="O278" s="748">
        <f>'Part II-Development Team'!O74</f>
        <v>0</v>
      </c>
    </row>
    <row r="279" spans="1:17" ht="6.6" customHeight="1"/>
    <row r="280" spans="1:17" ht="13.15" customHeight="1">
      <c r="B280" s="748" t="s">
        <v>3212</v>
      </c>
      <c r="C280" s="748" t="s">
        <v>378</v>
      </c>
      <c r="H280" s="748">
        <f>'Part II-Development Team'!H76</f>
        <v>0</v>
      </c>
      <c r="O280" s="748" t="s">
        <v>3067</v>
      </c>
      <c r="Q280" s="748">
        <f>'Part II-Development Team'!Q76</f>
        <v>0</v>
      </c>
    </row>
    <row r="281" spans="1:17" ht="13.15" customHeight="1">
      <c r="E281" s="748" t="s">
        <v>1642</v>
      </c>
      <c r="H281" s="748">
        <f>'Part II-Development Team'!H77</f>
        <v>0</v>
      </c>
      <c r="O281" s="748" t="s">
        <v>2776</v>
      </c>
      <c r="Q281" s="748">
        <f>'Part II-Development Team'!Q77</f>
        <v>0</v>
      </c>
    </row>
    <row r="282" spans="1:17" ht="13.15" customHeight="1">
      <c r="E282" s="748" t="s">
        <v>954</v>
      </c>
      <c r="H282" s="748">
        <f>'Part II-Development Team'!H78</f>
        <v>0</v>
      </c>
      <c r="O282" s="748" t="s">
        <v>2835</v>
      </c>
      <c r="Q282" s="748">
        <f>'Part II-Development Team'!Q78</f>
        <v>0</v>
      </c>
    </row>
    <row r="283" spans="1:17" ht="13.15" customHeight="1">
      <c r="E283" s="748" t="s">
        <v>2831</v>
      </c>
      <c r="H283" s="748">
        <f>'Part II-Development Team'!H79</f>
        <v>0</v>
      </c>
      <c r="I283" s="748" t="s">
        <v>3354</v>
      </c>
      <c r="J283" s="748">
        <f>'Part II-Development Team'!J79</f>
        <v>0</v>
      </c>
      <c r="O283" s="748" t="s">
        <v>3056</v>
      </c>
      <c r="Q283" s="748">
        <f>'Part II-Development Team'!Q79</f>
        <v>0</v>
      </c>
    </row>
    <row r="284" spans="1:17" ht="13.15" customHeight="1">
      <c r="E284" s="748" t="s">
        <v>3062</v>
      </c>
      <c r="H284" s="748">
        <f>'Part II-Development Team'!H80</f>
        <v>0</v>
      </c>
      <c r="J284" s="748">
        <f>'Part II-Development Team'!J80</f>
        <v>0</v>
      </c>
      <c r="K284" s="748" t="s">
        <v>2834</v>
      </c>
      <c r="L284" s="748">
        <f>'Part II-Development Team'!L80</f>
        <v>0</v>
      </c>
      <c r="N284" s="748" t="s">
        <v>3061</v>
      </c>
      <c r="O284" s="748">
        <f>'Part II-Development Team'!O80</f>
        <v>0</v>
      </c>
    </row>
    <row r="285" spans="1:17" ht="13.15" customHeight="1"/>
    <row r="286" spans="1:17" ht="13.15" customHeight="1">
      <c r="A286" s="748" t="s">
        <v>1232</v>
      </c>
      <c r="B286" s="748" t="s">
        <v>379</v>
      </c>
    </row>
    <row r="287" spans="1:17" ht="9" customHeight="1"/>
    <row r="288" spans="1:17" ht="13.15" customHeight="1">
      <c r="B288" s="748" t="s">
        <v>3060</v>
      </c>
      <c r="C288" s="748" t="s">
        <v>380</v>
      </c>
      <c r="H288" s="748">
        <f>'Part II-Development Team'!H84</f>
        <v>0</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2835</v>
      </c>
      <c r="Q290" s="748">
        <f>'Part II-Development Team'!Q86</f>
        <v>0</v>
      </c>
    </row>
    <row r="291" spans="2:17" ht="13.15" customHeight="1">
      <c r="E291" s="748" t="s">
        <v>2831</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2834</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Park Lane Construction, LLC</v>
      </c>
      <c r="O294" s="748" t="s">
        <v>3067</v>
      </c>
      <c r="Q294" s="748" t="str">
        <f>'Part II-Development Team'!Q90</f>
        <v>Scott Parker</v>
      </c>
    </row>
    <row r="295" spans="2:17" ht="13.15" customHeight="1">
      <c r="E295" s="748" t="s">
        <v>1642</v>
      </c>
      <c r="H295" s="748" t="str">
        <f>'Part II-Development Team'!H91</f>
        <v>100 Village Street</v>
      </c>
      <c r="O295" s="748" t="s">
        <v>2776</v>
      </c>
      <c r="Q295" s="748" t="str">
        <f>'Part II-Development Team'!Q91</f>
        <v>President</v>
      </c>
    </row>
    <row r="296" spans="2:17" ht="13.15" customHeight="1">
      <c r="E296" s="748" t="s">
        <v>954</v>
      </c>
      <c r="H296" s="748" t="str">
        <f>'Part II-Development Team'!H92</f>
        <v>Birmingham</v>
      </c>
      <c r="O296" s="748" t="s">
        <v>2835</v>
      </c>
      <c r="Q296" s="748">
        <f>'Part II-Development Team'!Q92</f>
        <v>0</v>
      </c>
    </row>
    <row r="297" spans="2:17" ht="13.15" customHeight="1">
      <c r="E297" s="748" t="s">
        <v>2831</v>
      </c>
      <c r="H297" s="748" t="str">
        <f>'Part II-Development Team'!H93</f>
        <v>AL</v>
      </c>
      <c r="I297" s="748" t="s">
        <v>3354</v>
      </c>
      <c r="J297" s="748">
        <f>'Part II-Development Team'!J93</f>
        <v>352426452</v>
      </c>
      <c r="O297" s="748" t="s">
        <v>3056</v>
      </c>
      <c r="Q297" s="748">
        <f>'Part II-Development Team'!Q93</f>
        <v>0</v>
      </c>
    </row>
    <row r="298" spans="2:17" ht="13.15" customHeight="1">
      <c r="E298" s="748" t="s">
        <v>3062</v>
      </c>
      <c r="H298" s="748">
        <f>'Part II-Development Team'!H94</f>
        <v>2059955658</v>
      </c>
      <c r="J298" s="748">
        <f>'Part II-Development Team'!J94</f>
        <v>0</v>
      </c>
      <c r="K298" s="748" t="s">
        <v>2834</v>
      </c>
      <c r="L298" s="748">
        <f>'Part II-Development Team'!L94</f>
        <v>2059956168</v>
      </c>
      <c r="N298" s="748" t="s">
        <v>3061</v>
      </c>
      <c r="O298" s="748" t="str">
        <f>'Part II-Development Team'!O94</f>
        <v>scott.parker@parklaneconstruction.com</v>
      </c>
    </row>
    <row r="299" spans="2:17" ht="6.6" customHeight="1"/>
    <row r="300" spans="2:17" ht="13.15" customHeight="1">
      <c r="B300" s="748" t="s">
        <v>1239</v>
      </c>
      <c r="C300" s="748" t="s">
        <v>382</v>
      </c>
      <c r="H300" s="748" t="str">
        <f>'Part II-Development Team'!H96</f>
        <v>Gateway Management Company, LLC</v>
      </c>
      <c r="O300" s="748" t="s">
        <v>3067</v>
      </c>
      <c r="Q300" s="748" t="str">
        <f>'Part II-Development Team'!Q96</f>
        <v>Randy Fleece</v>
      </c>
    </row>
    <row r="301" spans="2:17" ht="13.15" customHeight="1">
      <c r="E301" s="748" t="s">
        <v>1642</v>
      </c>
      <c r="H301" s="748" t="str">
        <f>'Part II-Development Team'!H97</f>
        <v>200 Cahaba Circle Ste 116</v>
      </c>
      <c r="O301" s="748" t="s">
        <v>2776</v>
      </c>
      <c r="Q301" s="748" t="str">
        <f>'Part II-Development Team'!Q97</f>
        <v>President</v>
      </c>
    </row>
    <row r="302" spans="2:17" ht="13.15" customHeight="1">
      <c r="E302" s="748" t="s">
        <v>954</v>
      </c>
      <c r="H302" s="748" t="str">
        <f>'Part II-Development Team'!H98</f>
        <v>Birmingham</v>
      </c>
      <c r="O302" s="748" t="s">
        <v>2835</v>
      </c>
      <c r="Q302" s="748">
        <f>'Part II-Development Team'!Q98</f>
        <v>0</v>
      </c>
    </row>
    <row r="303" spans="2:17" ht="13.15" customHeight="1">
      <c r="E303" s="748" t="s">
        <v>2831</v>
      </c>
      <c r="H303" s="748" t="str">
        <f>'Part II-Development Team'!H99</f>
        <v>AL</v>
      </c>
      <c r="I303" s="748" t="s">
        <v>3354</v>
      </c>
      <c r="J303" s="748">
        <f>'Part II-Development Team'!J99</f>
        <v>352420000</v>
      </c>
      <c r="O303" s="748" t="s">
        <v>3056</v>
      </c>
      <c r="Q303" s="748">
        <f>'Part II-Development Team'!Q99</f>
        <v>6784468933</v>
      </c>
    </row>
    <row r="304" spans="2:17" ht="13.15" customHeight="1">
      <c r="E304" s="748" t="s">
        <v>3062</v>
      </c>
      <c r="H304" s="748">
        <f>'Part II-Development Team'!H100</f>
        <v>2059803245</v>
      </c>
      <c r="J304" s="748">
        <f>'Part II-Development Team'!J100</f>
        <v>0</v>
      </c>
      <c r="K304" s="748" t="s">
        <v>2834</v>
      </c>
      <c r="L304" s="748">
        <f>'Part II-Development Team'!L100</f>
        <v>2567675804</v>
      </c>
      <c r="N304" s="748" t="s">
        <v>3061</v>
      </c>
      <c r="O304" s="748" t="str">
        <f>'Part II-Development Team'!O100</f>
        <v>rfleece@gatewaymgt.com</v>
      </c>
    </row>
    <row r="305" spans="2:17" ht="6.6" customHeight="1"/>
    <row r="306" spans="2:17" ht="13.15" customHeight="1">
      <c r="B306" s="748" t="s">
        <v>3212</v>
      </c>
      <c r="C306" s="748" t="s">
        <v>383</v>
      </c>
      <c r="H306" s="748" t="str">
        <f>'Part II-Development Team'!H102</f>
        <v>Coleman Talley</v>
      </c>
      <c r="O306" s="748" t="s">
        <v>3067</v>
      </c>
      <c r="Q306" s="748" t="str">
        <f>'Part II-Development Team'!Q102</f>
        <v>Thompson Kurrie, Jr</v>
      </c>
    </row>
    <row r="307" spans="2:17" ht="13.15" customHeight="1">
      <c r="E307" s="748" t="s">
        <v>1642</v>
      </c>
      <c r="H307" s="748" t="str">
        <f>'Part II-Development Team'!H103</f>
        <v>910 N. Patterson Street</v>
      </c>
      <c r="O307" s="748" t="s">
        <v>2776</v>
      </c>
      <c r="Q307" s="748" t="str">
        <f>'Part II-Development Team'!Q103</f>
        <v>Partner</v>
      </c>
    </row>
    <row r="308" spans="2:17" ht="13.15" customHeight="1">
      <c r="E308" s="748" t="s">
        <v>954</v>
      </c>
      <c r="H308" s="748" t="str">
        <f>'Part II-Development Team'!H104</f>
        <v>Valdosta</v>
      </c>
      <c r="O308" s="748" t="s">
        <v>2835</v>
      </c>
      <c r="Q308" s="748">
        <f>'Part II-Development Team'!Q104</f>
        <v>2296718216</v>
      </c>
    </row>
    <row r="309" spans="2:17" ht="13.15" customHeight="1">
      <c r="E309" s="748" t="s">
        <v>2831</v>
      </c>
      <c r="H309" s="748" t="str">
        <f>'Part II-Development Team'!H105</f>
        <v>GA</v>
      </c>
      <c r="I309" s="748" t="s">
        <v>3354</v>
      </c>
      <c r="J309" s="748">
        <f>'Part II-Development Team'!J105</f>
        <v>316034531</v>
      </c>
      <c r="O309" s="748" t="s">
        <v>3056</v>
      </c>
      <c r="Q309" s="748">
        <f>'Part II-Development Team'!Q105</f>
        <v>2295484476</v>
      </c>
    </row>
    <row r="310" spans="2:17" ht="13.15" customHeight="1">
      <c r="E310" s="748" t="s">
        <v>3062</v>
      </c>
      <c r="H310" s="748">
        <f>'Part II-Development Team'!H106</f>
        <v>2292427562</v>
      </c>
      <c r="J310" s="748">
        <f>'Part II-Development Team'!J106</f>
        <v>0</v>
      </c>
      <c r="K310" s="748" t="s">
        <v>2834</v>
      </c>
      <c r="L310" s="748">
        <f>'Part II-Development Team'!L106</f>
        <v>2293330885</v>
      </c>
      <c r="N310" s="748" t="s">
        <v>3061</v>
      </c>
      <c r="O310" s="748" t="str">
        <f>'Part II-Development Team'!O106</f>
        <v>tom.kurrie@colemantalley.com</v>
      </c>
    </row>
    <row r="311" spans="2:17" ht="6" customHeight="1"/>
    <row r="312" spans="2:17" ht="0.6" customHeight="1"/>
    <row r="313" spans="2:17" ht="13.15" customHeight="1">
      <c r="B313" s="748" t="s">
        <v>2763</v>
      </c>
      <c r="C313" s="748" t="s">
        <v>384</v>
      </c>
      <c r="H313" s="748" t="str">
        <f>'Part II-Development Team'!H109</f>
        <v>Tidwell Group</v>
      </c>
      <c r="O313" s="748" t="s">
        <v>3067</v>
      </c>
      <c r="Q313" s="748" t="str">
        <f>'Part II-Development Team'!Q109</f>
        <v>Barry Tidwell</v>
      </c>
    </row>
    <row r="314" spans="2:17" ht="13.15" customHeight="1">
      <c r="E314" s="748" t="s">
        <v>1642</v>
      </c>
      <c r="H314" s="748" t="str">
        <f>'Part II-Development Team'!H110</f>
        <v>361 Summit Boulevard Suite 210</v>
      </c>
      <c r="O314" s="748" t="s">
        <v>2776</v>
      </c>
      <c r="Q314" s="748" t="str">
        <f>'Part II-Development Team'!Q110</f>
        <v>Managing Partner</v>
      </c>
    </row>
    <row r="315" spans="2:17" ht="13.15" customHeight="1">
      <c r="E315" s="748" t="s">
        <v>954</v>
      </c>
      <c r="H315" s="748" t="str">
        <f>'Part II-Development Team'!H111</f>
        <v>Birmingham</v>
      </c>
      <c r="O315" s="748" t="s">
        <v>2835</v>
      </c>
      <c r="Q315" s="748">
        <f>'Part II-Development Team'!Q111</f>
        <v>0</v>
      </c>
    </row>
    <row r="316" spans="2:17" ht="13.15" customHeight="1">
      <c r="E316" s="748" t="s">
        <v>2831</v>
      </c>
      <c r="H316" s="748" t="str">
        <f>'Part II-Development Team'!H112</f>
        <v>AL</v>
      </c>
      <c r="I316" s="748" t="s">
        <v>3354</v>
      </c>
      <c r="J316" s="748">
        <f>'Part II-Development Team'!J112</f>
        <v>352433168</v>
      </c>
      <c r="O316" s="748" t="s">
        <v>3056</v>
      </c>
      <c r="Q316" s="748">
        <f>'Part II-Development Team'!Q112</f>
        <v>0</v>
      </c>
    </row>
    <row r="317" spans="2:17" ht="13.15" customHeight="1">
      <c r="E317" s="748" t="s">
        <v>3062</v>
      </c>
      <c r="H317" s="748">
        <f>'Part II-Development Team'!H113</f>
        <v>2058221010</v>
      </c>
      <c r="J317" s="748">
        <f>'Part II-Development Team'!J113</f>
        <v>0</v>
      </c>
      <c r="K317" s="748" t="s">
        <v>2834</v>
      </c>
      <c r="L317" s="748">
        <f>'Part II-Development Team'!L113</f>
        <v>2058221555</v>
      </c>
      <c r="N317" s="748" t="s">
        <v>3061</v>
      </c>
      <c r="O317" s="748" t="str">
        <f>'Part II-Development Team'!O113</f>
        <v>barry.tidwell@tidwellgroup.com</v>
      </c>
    </row>
    <row r="318" spans="2:17" ht="6.6" customHeight="1"/>
    <row r="319" spans="2:17" ht="13.15" customHeight="1">
      <c r="B319" s="748" t="s">
        <v>2764</v>
      </c>
      <c r="C319" s="748" t="s">
        <v>385</v>
      </c>
      <c r="H319" s="748" t="str">
        <f>'Part II-Development Team'!H115</f>
        <v>McKean &amp; Associates</v>
      </c>
      <c r="O319" s="748" t="s">
        <v>3067</v>
      </c>
      <c r="Q319" s="748" t="str">
        <f>'Part II-Development Team'!Q115</f>
        <v>Rory McKean</v>
      </c>
    </row>
    <row r="320" spans="2:17" ht="13.15" customHeight="1">
      <c r="E320" s="748" t="s">
        <v>1642</v>
      </c>
      <c r="H320" s="748" t="str">
        <f>'Part II-Development Team'!H116</f>
        <v>2815-B Zelda Road</v>
      </c>
      <c r="O320" s="748" t="s">
        <v>2776</v>
      </c>
      <c r="Q320" s="748" t="str">
        <f>'Part II-Development Team'!Q116</f>
        <v>President</v>
      </c>
    </row>
    <row r="321" spans="1:18" ht="13.15" customHeight="1">
      <c r="E321" s="748" t="s">
        <v>954</v>
      </c>
      <c r="H321" s="748" t="str">
        <f>'Part II-Development Team'!H117</f>
        <v>Montgomery</v>
      </c>
      <c r="O321" s="748" t="s">
        <v>2835</v>
      </c>
      <c r="Q321" s="748">
        <f>'Part II-Development Team'!Q117</f>
        <v>0</v>
      </c>
    </row>
    <row r="322" spans="1:18" ht="13.15" customHeight="1">
      <c r="E322" s="748" t="s">
        <v>2831</v>
      </c>
      <c r="H322" s="748" t="str">
        <f>'Part II-Development Team'!H118</f>
        <v>AL</v>
      </c>
      <c r="I322" s="748" t="s">
        <v>3354</v>
      </c>
      <c r="J322" s="748">
        <f>'Part II-Development Team'!J118</f>
        <v>361062727</v>
      </c>
      <c r="O322" s="748" t="s">
        <v>3056</v>
      </c>
      <c r="Q322" s="748">
        <f>'Part II-Development Team'!Q118</f>
        <v>3345461281</v>
      </c>
    </row>
    <row r="323" spans="1:18" ht="13.15" customHeight="1">
      <c r="E323" s="748" t="s">
        <v>3062</v>
      </c>
      <c r="H323" s="748">
        <f>'Part II-Development Team'!H119</f>
        <v>3342724044</v>
      </c>
      <c r="J323" s="748">
        <f>'Part II-Development Team'!J119</f>
        <v>0</v>
      </c>
      <c r="K323" s="748" t="s">
        <v>2834</v>
      </c>
      <c r="L323" s="748">
        <f>'Part II-Development Team'!L119</f>
        <v>3342440347</v>
      </c>
      <c r="N323" s="748" t="s">
        <v>3061</v>
      </c>
      <c r="O323" s="748" t="str">
        <f>'Part II-Development Team'!O119</f>
        <v>mckean@mckeanarch.com</v>
      </c>
    </row>
    <row r="324" spans="1:18" ht="13.15" customHeight="1"/>
    <row r="325" spans="1:18" ht="13.15" customHeight="1">
      <c r="A325" s="748" t="s">
        <v>2824</v>
      </c>
      <c r="B325" s="748" t="s">
        <v>366</v>
      </c>
    </row>
    <row r="326" spans="1:18" ht="6.6" customHeight="1"/>
    <row r="327" spans="1:18" ht="21.6" customHeight="1">
      <c r="A327" s="748" t="s">
        <v>977</v>
      </c>
      <c r="E327" s="748" t="s">
        <v>4054</v>
      </c>
      <c r="F327" s="748" t="s">
        <v>3601</v>
      </c>
      <c r="G327" s="748" t="s">
        <v>4055</v>
      </c>
      <c r="J327" s="748" t="s">
        <v>4056</v>
      </c>
      <c r="L327" s="748" t="s">
        <v>4057</v>
      </c>
      <c r="N327" s="748" t="s">
        <v>4058</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For Profit</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2826</v>
      </c>
      <c r="C347" s="748" t="s">
        <v>880</v>
      </c>
      <c r="N347" s="748" t="s">
        <v>823</v>
      </c>
      <c r="O347" s="748" t="s">
        <v>89</v>
      </c>
    </row>
    <row r="348" spans="1:18" ht="3.6" customHeight="1"/>
    <row r="349" spans="1:18" ht="42.6" customHeight="1">
      <c r="A349" s="748" t="str">
        <f>'Part II-Development Team'!A145</f>
        <v>Allan Rappuhn serves as Managing Member of Gateway Heritage Vista, the General Partner; sole owner of the developers, Gateway Construction Corporation and Gateway Properties, LLC; and as sole member of Gateway Management Company, LLC, the property manager.</v>
      </c>
      <c r="N349" s="748">
        <f>'Part II-Development Team'!N145</f>
        <v>0</v>
      </c>
    </row>
    <row r="350" spans="1:18" ht="42.6" customHeight="1">
      <c r="A350" s="748" t="str">
        <f>'Part II-Development Team'!A146</f>
        <v>DASH Development Corporation is a 1% member of Gateway Heritage Vista, LLC</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2011-020 Heritage Vista Apartments, Milledgeville, Baldwin County</v>
      </c>
    </row>
    <row r="356" spans="1:16">
      <c r="A356" s="748" t="s">
        <v>951</v>
      </c>
      <c r="B356" s="748" t="s">
        <v>3771</v>
      </c>
    </row>
    <row r="358" spans="1:16">
      <c r="B358" s="748" t="str">
        <f>'Part III A-Sources of Funds'!B5</f>
        <v>Yes</v>
      </c>
      <c r="C358" s="748" t="s">
        <v>3653</v>
      </c>
      <c r="E358" s="748" t="str">
        <f>'Part III A-Sources of Funds'!E5</f>
        <v>Yes</v>
      </c>
      <c r="F358" s="748" t="s">
        <v>1981</v>
      </c>
      <c r="J358" s="748">
        <f>'Part III A-Sources of Funds'!J5</f>
        <v>1660000</v>
      </c>
      <c r="M358" s="748" t="str">
        <f>'Part III A-Sources of Funds'!M5</f>
        <v>No</v>
      </c>
      <c r="N358" s="748" t="s">
        <v>846</v>
      </c>
    </row>
    <row r="359" spans="1:16">
      <c r="B359" s="748" t="str">
        <f>'Part III A-Sources of Funds'!B6</f>
        <v>No</v>
      </c>
      <c r="C359" s="748" t="s">
        <v>2836</v>
      </c>
      <c r="E359" s="748" t="str">
        <f>'Part III A-Sources of Funds'!E6</f>
        <v>No</v>
      </c>
      <c r="F359" s="748" t="s">
        <v>3312</v>
      </c>
      <c r="J359" s="748" t="str">
        <f>'Part III A-Sources of Funds'!J6</f>
        <v>No</v>
      </c>
      <c r="K359" s="748" t="s">
        <v>847</v>
      </c>
      <c r="M359" s="748" t="str">
        <f>'Part III A-Sources of Funds'!M6</f>
        <v>No</v>
      </c>
      <c r="N359" s="748" t="s">
        <v>845</v>
      </c>
    </row>
    <row r="360" spans="1:16">
      <c r="B360" s="748" t="str">
        <f>'Part III A-Sources of Funds'!B7</f>
        <v>No</v>
      </c>
      <c r="C360" s="748" t="s">
        <v>2837</v>
      </c>
      <c r="E360" s="748" t="str">
        <f>'Part III A-Sources of Funds'!E7</f>
        <v>No</v>
      </c>
      <c r="F360" s="748" t="s">
        <v>3311</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3915</v>
      </c>
      <c r="E361" s="748" t="str">
        <f>'Part III A-Sources of Funds'!E8</f>
        <v>No</v>
      </c>
      <c r="F361" s="748" t="s">
        <v>3916</v>
      </c>
      <c r="H361" s="748" t="str">
        <f>'Part III A-Sources of Funds'!H8</f>
        <v>No</v>
      </c>
      <c r="I361" s="748" t="s">
        <v>3654</v>
      </c>
      <c r="J361" s="748" t="str">
        <f>'Part III A-Sources of Funds'!J8</f>
        <v>No</v>
      </c>
      <c r="K361" s="748" t="s">
        <v>875</v>
      </c>
      <c r="M361" s="748" t="str">
        <f>'Part III A-Sources of Funds'!M8</f>
        <v>No</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DCA HOME Loan</v>
      </c>
      <c r="L367" s="748">
        <f>'Part III A-Sources of Funds'!L14</f>
        <v>1660000</v>
      </c>
      <c r="N367" s="748">
        <f>'Part III A-Sources of Funds'!N14</f>
        <v>0</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Raymond James Tax Credit Funds</v>
      </c>
      <c r="L373" s="748">
        <f>'Part III A-Sources of Funds'!L20</f>
        <v>4193405</v>
      </c>
    </row>
    <row r="374" spans="1:17">
      <c r="B374" s="748" t="s">
        <v>1386</v>
      </c>
      <c r="H374" s="748" t="str">
        <f>'Part III A-Sources of Funds'!H21</f>
        <v>Raymond James Tax Credit Funds</v>
      </c>
      <c r="L374" s="748">
        <f>'Part III A-Sources of Funds'!L21</f>
        <v>1397561</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7250966</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7250966</v>
      </c>
    </row>
    <row r="380" spans="1:17">
      <c r="B380" s="748" t="s">
        <v>3261</v>
      </c>
      <c r="L380" s="748">
        <f>L378-L379</f>
        <v>0</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2844</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DCA HOME Loan</v>
      </c>
      <c r="H386" s="748">
        <f>'Part III A-Sources of Funds'!H33</f>
        <v>1660000</v>
      </c>
      <c r="J386" s="748">
        <f>'Part III A-Sources of Funds'!J33</f>
        <v>0.01</v>
      </c>
      <c r="K386" s="748">
        <f>'Part III A-Sources of Funds'!K33</f>
        <v>20</v>
      </c>
      <c r="L386" s="748">
        <f>'Part III A-Sources of Funds'!L33</f>
        <v>20</v>
      </c>
      <c r="M386" s="748" t="str">
        <f>'Part III A-Sources of Funds'!M33</f>
        <v/>
      </c>
      <c r="O386" s="748" t="str">
        <f>'Part III A-Sources of Funds'!O33</f>
        <v>DCA HOME IPS</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2.0935096478208071E-2</v>
      </c>
      <c r="E390" s="748" t="str">
        <f>'Part III A-Sources of Funds'!E37</f>
        <v>Gateway Construction Corp</v>
      </c>
      <c r="H390" s="748">
        <f>'Part III A-Sources of Funds'!H37</f>
        <v>21721</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Raymond James Tax Credit Funds</v>
      </c>
      <c r="H393" s="748">
        <f>'Part III A-Sources of Funds'!H40</f>
        <v>5376160</v>
      </c>
      <c r="J393" s="748">
        <f>'Part IV-Uses of Funds'!$J$165*10*'Part IV-Uses of Funds'!$N$158</f>
        <v>5376159.9206999997</v>
      </c>
      <c r="L393" s="748">
        <f>H393-J393</f>
        <v>7.9300000332295895E-2</v>
      </c>
      <c r="M393" s="748" t="s">
        <v>2538</v>
      </c>
      <c r="S393" s="748">
        <f>H393/H403</f>
        <v>0.61773832918934712</v>
      </c>
    </row>
    <row r="394" spans="2:19">
      <c r="B394" s="748" t="s">
        <v>1386</v>
      </c>
      <c r="E394" s="748" t="str">
        <f>'Part III A-Sources of Funds'!E41</f>
        <v>Raymond James Tax Credit Funds</v>
      </c>
      <c r="H394" s="748">
        <f>'Part III A-Sources of Funds'!H41</f>
        <v>1645092</v>
      </c>
      <c r="J394" s="748">
        <f>'Part IV-Uses of Funds'!$J$165*10*'Part IV-Uses of Funds'!$Q$158</f>
        <v>1645091.7749999999</v>
      </c>
      <c r="L394" s="748">
        <f>H394-J394</f>
        <v>0.22500000009313226</v>
      </c>
      <c r="S394" s="748">
        <f>H394/H403</f>
        <v>0.18902643958564505</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0.80676476877499215</v>
      </c>
    </row>
    <row r="396" spans="2:19">
      <c r="B396" s="748" t="s">
        <v>825</v>
      </c>
      <c r="E396" s="748">
        <f>'Part III A-Sources of Funds'!E43</f>
        <v>0</v>
      </c>
      <c r="H396" s="748">
        <f>'Part III A-Sources of Funds'!H43</f>
        <v>0</v>
      </c>
      <c r="M396" s="748" t="s">
        <v>3024</v>
      </c>
      <c r="N396" s="748">
        <f>'Part III A-Sources of Funds'!N43</f>
        <v>0.01</v>
      </c>
      <c r="O396" s="748">
        <f>'Part III A-Sources of Funds'!O43</f>
        <v>0.01</v>
      </c>
      <c r="P396" s="748">
        <f>'Part III A-Sources of Funds'!P43</f>
        <v>0.01</v>
      </c>
      <c r="Q396" s="748">
        <f>'Part III A-Sources of Funds'!Q43</f>
        <v>0.01</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0.01</v>
      </c>
      <c r="N398" s="748">
        <f>'Part III A-Sources of Funds'!N45</f>
        <v>0.01</v>
      </c>
      <c r="O398" s="748">
        <f>'Part III A-Sources of Funds'!O45</f>
        <v>0.01</v>
      </c>
      <c r="P398" s="748">
        <f>'Part III A-Sources of Funds'!P45</f>
        <v>0.01</v>
      </c>
      <c r="Q398" s="748">
        <f>'Part III A-Sources of Funds'!Q45</f>
        <v>0.01</v>
      </c>
    </row>
    <row r="399" spans="2:19">
      <c r="B399" s="748" t="s">
        <v>1231</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0.01</v>
      </c>
      <c r="N400" s="748">
        <f>'Part III A-Sources of Funds'!N47</f>
        <v>0.01</v>
      </c>
      <c r="O400" s="748">
        <f>'Part III A-Sources of Funds'!O47</f>
        <v>0.01</v>
      </c>
      <c r="P400" s="748">
        <f>'Part III A-Sources of Funds'!P47</f>
        <v>0.01</v>
      </c>
      <c r="Q400" s="748">
        <f>'Part III A-Sources of Funds'!Q47</f>
        <v>0.01</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8702973</v>
      </c>
      <c r="M402" s="748">
        <f>'Part III A-Sources of Funds'!M49</f>
        <v>0.01</v>
      </c>
      <c r="N402" s="748">
        <f>'Part III A-Sources of Funds'!N49</f>
        <v>0.01</v>
      </c>
      <c r="O402" s="748">
        <f>'Part III A-Sources of Funds'!O49</f>
        <v>0.01</v>
      </c>
      <c r="P402" s="748">
        <f>'Part III A-Sources of Funds'!P49</f>
        <v>0.01</v>
      </c>
      <c r="Q402" s="748">
        <f>'Part III A-Sources of Funds'!Q49</f>
        <v>0.01</v>
      </c>
    </row>
    <row r="403" spans="1:17">
      <c r="B403" s="748" t="s">
        <v>3335</v>
      </c>
      <c r="H403" s="748">
        <f>'Part IV-Uses of Funds'!$G$123</f>
        <v>8702973</v>
      </c>
      <c r="M403" s="748">
        <v>26</v>
      </c>
      <c r="N403" s="748">
        <v>27</v>
      </c>
      <c r="O403" s="748">
        <v>28</v>
      </c>
      <c r="P403" s="748">
        <v>29</v>
      </c>
      <c r="Q403" s="748">
        <v>30</v>
      </c>
    </row>
    <row r="404" spans="1:17">
      <c r="B404" s="748" t="s">
        <v>2277</v>
      </c>
      <c r="H404" s="748">
        <f>H402-H403</f>
        <v>0</v>
      </c>
      <c r="M404" s="748">
        <f>'Part III A-Sources of Funds'!M51</f>
        <v>0.01</v>
      </c>
      <c r="N404" s="748">
        <f>'Part III A-Sources of Funds'!N51</f>
        <v>0.01</v>
      </c>
      <c r="O404" s="748">
        <f>'Part III A-Sources of Funds'!O51</f>
        <v>0.01</v>
      </c>
      <c r="P404" s="748">
        <f>'Part III A-Sources of Funds'!P51</f>
        <v>0.01</v>
      </c>
      <c r="Q404" s="748">
        <f>'Part III A-Sources of Funds'!Q51</f>
        <v>0.01</v>
      </c>
    </row>
    <row r="406" spans="1:17">
      <c r="A406" s="748" t="s">
        <v>2824</v>
      </c>
      <c r="B406" s="748" t="s">
        <v>880</v>
      </c>
      <c r="K406" s="748" t="s">
        <v>2824</v>
      </c>
      <c r="L406" s="748" t="s">
        <v>89</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2011-020 Heritage Vista Apartments, Milledgeville, Baldwin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2011-020 Heritage Vista Apartments, Milledgeville, Baldwin County</v>
      </c>
      <c r="G471" s="748" t="str">
        <f>CONCATENATE('Part I-Project Information'!$O$4," ",'Part I-Project Information'!$F$22,", ",'Part I-Project Information'!$F$24,", ",'Part I-Project Information'!$J$25," County")</f>
        <v>2011-020 Heritage Vista Apartments, Milledgeville, Baldwin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2011-020 Heritage Vista Apartments, Milledgeville, Baldwin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2011-020 Heritage Vista Apartments, Milledgeville, Baldwin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2011-020 Heritage Vista Apartments,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10000</v>
      </c>
      <c r="J1504" s="748">
        <f>'Part IV-Uses of Funds'!J8</f>
        <v>10000</v>
      </c>
      <c r="M1504" s="748">
        <f>'Part IV-Uses of Funds'!M8</f>
        <v>0</v>
      </c>
      <c r="P1504" s="748">
        <f>'Part IV-Uses of Funds'!P8</f>
        <v>0</v>
      </c>
      <c r="S1504" s="748">
        <f>'Part IV-Uses of Funds'!S8</f>
        <v>0</v>
      </c>
    </row>
    <row r="1505" spans="1:21" ht="12.6" customHeight="1">
      <c r="B1505" s="748" t="s">
        <v>672</v>
      </c>
      <c r="G1505" s="748">
        <f>'Part IV-Uses of Funds'!G9</f>
        <v>5000</v>
      </c>
      <c r="J1505" s="748">
        <f>'Part IV-Uses of Funds'!J9</f>
        <v>5000</v>
      </c>
      <c r="M1505" s="748">
        <f>'Part IV-Uses of Funds'!M9</f>
        <v>0</v>
      </c>
      <c r="P1505" s="748">
        <f>'Part IV-Uses of Funds'!P9</f>
        <v>0</v>
      </c>
      <c r="S1505" s="748">
        <f>'Part IV-Uses of Funds'!S9</f>
        <v>0</v>
      </c>
    </row>
    <row r="1506" spans="1:21" ht="12.6" customHeight="1">
      <c r="B1506" s="748" t="s">
        <v>718</v>
      </c>
      <c r="G1506" s="748">
        <f>'Part IV-Uses of Funds'!G10</f>
        <v>8250</v>
      </c>
      <c r="J1506" s="748">
        <f>'Part IV-Uses of Funds'!J10</f>
        <v>8250</v>
      </c>
      <c r="M1506" s="748">
        <f>'Part IV-Uses of Funds'!M10</f>
        <v>0</v>
      </c>
      <c r="P1506" s="748">
        <f>'Part IV-Uses of Funds'!P10</f>
        <v>0</v>
      </c>
      <c r="S1506" s="748">
        <f>'Part IV-Uses of Funds'!S10</f>
        <v>0</v>
      </c>
    </row>
    <row r="1507" spans="1:21" ht="12.6" customHeight="1">
      <c r="B1507" s="748" t="s">
        <v>719</v>
      </c>
      <c r="G1507" s="748">
        <f>'Part IV-Uses of Funds'!G11</f>
        <v>5000</v>
      </c>
      <c r="J1507" s="748">
        <f>'Part IV-Uses of Funds'!J11</f>
        <v>5000</v>
      </c>
      <c r="M1507" s="748">
        <f>'Part IV-Uses of Funds'!M11</f>
        <v>0</v>
      </c>
      <c r="P1507" s="748">
        <f>'Part IV-Uses of Funds'!P11</f>
        <v>0</v>
      </c>
      <c r="S1507" s="748">
        <f>'Part IV-Uses of Funds'!S11</f>
        <v>0</v>
      </c>
    </row>
    <row r="1508" spans="1:21" ht="12.6" customHeight="1">
      <c r="B1508" s="748" t="s">
        <v>3780</v>
      </c>
      <c r="G1508" s="748">
        <f>'Part IV-Uses of Funds'!G12</f>
        <v>13500</v>
      </c>
      <c r="J1508" s="748">
        <f>'Part IV-Uses of Funds'!J12</f>
        <v>0</v>
      </c>
      <c r="M1508" s="748">
        <f>'Part IV-Uses of Funds'!M12</f>
        <v>0</v>
      </c>
      <c r="P1508" s="748">
        <f>'Part IV-Uses of Funds'!P12</f>
        <v>0</v>
      </c>
      <c r="S1508" s="748">
        <f>'Part IV-Uses of Funds'!S12</f>
        <v>13500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f>'Part IV-Uses of Funds'!C14</f>
        <v>0</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41750</v>
      </c>
      <c r="J1513" s="748">
        <f>SUM(J1504:K1512)</f>
        <v>28250</v>
      </c>
      <c r="M1513" s="748">
        <f>SUM(M1504:N1512)</f>
        <v>0</v>
      </c>
      <c r="P1513" s="748">
        <f>SUM(P1504:Q1512)</f>
        <v>0</v>
      </c>
      <c r="S1513" s="748">
        <f>SUM(S1504:T1512)</f>
        <v>13500</v>
      </c>
    </row>
    <row r="1514" spans="1:21" ht="13.15" customHeight="1">
      <c r="B1514" s="748" t="s">
        <v>3306</v>
      </c>
      <c r="O1514" s="748" t="str">
        <f>B1514</f>
        <v>ACQUISITION</v>
      </c>
    </row>
    <row r="1515" spans="1:21" ht="12.6" customHeight="1">
      <c r="B1515" s="748" t="s">
        <v>3307</v>
      </c>
      <c r="G1515" s="748">
        <f>'Part IV-Uses of Funds'!G19</f>
        <v>748500</v>
      </c>
      <c r="S1515" s="748">
        <f>'Part IV-Uses of Funds'!S19</f>
        <v>748500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748500</v>
      </c>
      <c r="M1519" s="748">
        <f>SUM(M1517:N1518)</f>
        <v>0</v>
      </c>
      <c r="S1519" s="748">
        <f>SUM(S1515:T1518)</f>
        <v>748500</v>
      </c>
    </row>
    <row r="1520" spans="1:21" ht="13.15" customHeight="1">
      <c r="B1520" s="748" t="s">
        <v>1752</v>
      </c>
      <c r="O1520" s="748" t="str">
        <f>B1520</f>
        <v>LAND IMPROVEMENTS</v>
      </c>
    </row>
    <row r="1521" spans="2:19" ht="12.6" customHeight="1">
      <c r="B1521" s="748" t="s">
        <v>1753</v>
      </c>
      <c r="G1521" s="748">
        <f>'Part IV-Uses of Funds'!G25</f>
        <v>384000</v>
      </c>
      <c r="J1521" s="748">
        <f>'Part IV-Uses of Funds'!J25</f>
        <v>384000</v>
      </c>
      <c r="M1521" s="748">
        <f>'Part IV-Uses of Funds'!M25</f>
        <v>0</v>
      </c>
      <c r="P1521" s="748">
        <f>'Part IV-Uses of Funds'!P25</f>
        <v>0</v>
      </c>
      <c r="S1521" s="748">
        <f>'Part IV-Uses of Funds'!S25</f>
        <v>0</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384000</v>
      </c>
      <c r="J1523" s="748">
        <f>SUM(J1521:K1522)</f>
        <v>384000</v>
      </c>
      <c r="M1523" s="748">
        <f>M1521</f>
        <v>0</v>
      </c>
      <c r="P1523" s="748">
        <f>P1521</f>
        <v>0</v>
      </c>
      <c r="S1523" s="748">
        <f>SUM(S1521:T1522)</f>
        <v>0</v>
      </c>
    </row>
    <row r="1524" spans="2:19" ht="13.15" customHeight="1">
      <c r="B1524" s="748" t="s">
        <v>1755</v>
      </c>
      <c r="O1524" s="748" t="str">
        <f>B1524</f>
        <v>STRUCTURES</v>
      </c>
    </row>
    <row r="1525" spans="2:19" ht="12.6" customHeight="1">
      <c r="B1525" s="748" t="s">
        <v>1756</v>
      </c>
      <c r="G1525" s="748">
        <f>'Part IV-Uses of Funds'!G29</f>
        <v>4412800</v>
      </c>
      <c r="J1525" s="748">
        <f>'Part IV-Uses of Funds'!J29</f>
        <v>4412800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120000</v>
      </c>
      <c r="J1527" s="748">
        <f>'Part IV-Uses of Funds'!J31</f>
        <v>120000</v>
      </c>
      <c r="M1527" s="748">
        <f>'Part IV-Uses of Funds'!M31</f>
        <v>0</v>
      </c>
      <c r="P1527" s="748">
        <f>'Part IV-Uses of Funds'!P31</f>
        <v>0</v>
      </c>
      <c r="S1527" s="748">
        <f>'Part IV-Uses of Funds'!S31</f>
        <v>0</v>
      </c>
    </row>
    <row r="1528" spans="2:19" ht="12.6" customHeight="1">
      <c r="F1528" s="748" t="s">
        <v>249</v>
      </c>
      <c r="G1528" s="748">
        <f>SUM(G1525:H1527)</f>
        <v>4532800</v>
      </c>
      <c r="J1528" s="748">
        <f>SUM(J1525:K1527)</f>
        <v>4532800</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295008</v>
      </c>
      <c r="J1530" s="748">
        <f>'Part IV-Uses of Funds'!J34</f>
        <v>295008</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393344</v>
      </c>
      <c r="J1531" s="748">
        <f>'Part IV-Uses of Funds'!J35</f>
        <v>393344</v>
      </c>
      <c r="M1531" s="748">
        <f>'Part IV-Uses of Funds'!M35</f>
        <v>0</v>
      </c>
      <c r="P1531" s="748">
        <f>'Part IV-Uses of Funds'!P35</f>
        <v>0</v>
      </c>
      <c r="S1531" s="748">
        <f>'Part IV-Uses of Funds'!S35</f>
        <v>0</v>
      </c>
    </row>
    <row r="1532" spans="2:19" ht="12.6" customHeight="1">
      <c r="B1532" s="748" t="s">
        <v>3131</v>
      </c>
      <c r="F1532" s="748" t="s">
        <v>249</v>
      </c>
      <c r="G1532" s="748">
        <f>SUM(G1530:H1531)</f>
        <v>688352</v>
      </c>
      <c r="J1532" s="748">
        <f>SUM(J1530:K1531)</f>
        <v>688352</v>
      </c>
      <c r="M1532" s="748">
        <f>SUM(M1530:N1531)</f>
        <v>0</v>
      </c>
      <c r="P1532" s="748">
        <f>SUM(P1530:Q1531)</f>
        <v>0</v>
      </c>
      <c r="S1532" s="748">
        <f>SUM(S1530:T1531)</f>
        <v>0</v>
      </c>
    </row>
    <row r="1533" spans="2:19" ht="6" customHeight="1"/>
    <row r="1534" spans="2:19" ht="12.6" customHeight="1">
      <c r="B1534" s="748" t="s">
        <v>1761</v>
      </c>
      <c r="D1534" s="748">
        <f>B1535/'Part VI-Revenues &amp; Expenses'!$M$63</f>
        <v>87580.5</v>
      </c>
      <c r="F1534" s="748" t="s">
        <v>2111</v>
      </c>
    </row>
    <row r="1535" spans="2:19" ht="12.6" customHeight="1">
      <c r="B1535" s="748">
        <f>G1523+G1528+G1532</f>
        <v>5605152</v>
      </c>
      <c r="D1535" s="748">
        <f>B1535/'Part VI-Revenues &amp; Expenses'!$M$98</f>
        <v>82.004213483146074</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280258</v>
      </c>
      <c r="J1538" s="748">
        <f>'Part IV-Uses of Funds'!J42</f>
        <v>0</v>
      </c>
      <c r="M1538" s="748">
        <f>'Part IV-Uses of Funds'!M42</f>
        <v>0</v>
      </c>
      <c r="P1538" s="748">
        <f>'Part IV-Uses of Funds'!P42</f>
        <v>0</v>
      </c>
      <c r="S1538" s="748">
        <f>'Part IV-Uses of Funds'!S42</f>
        <v>280258</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0</v>
      </c>
      <c r="J1544" s="748">
        <f>'Part IV-Uses of Funds'!J48</f>
        <v>0</v>
      </c>
      <c r="M1544" s="748">
        <f>'Part IV-Uses of Funds'!M48</f>
        <v>0</v>
      </c>
      <c r="P1544" s="748">
        <f>'Part IV-Uses of Funds'!P48</f>
        <v>0</v>
      </c>
      <c r="S1544" s="748">
        <f>'Part IV-Uses of Funds'!S48</f>
        <v>0</v>
      </c>
    </row>
    <row r="1545" spans="1:21" ht="13.15" customHeight="1">
      <c r="B1545" s="748" t="s">
        <v>3497</v>
      </c>
      <c r="G1545" s="748">
        <f>'Part IV-Uses of Funds'!G49</f>
        <v>0</v>
      </c>
      <c r="J1545" s="748">
        <f>'Part IV-Uses of Funds'!J49</f>
        <v>0</v>
      </c>
      <c r="M1545" s="748">
        <f>'Part IV-Uses of Funds'!M49</f>
        <v>0</v>
      </c>
      <c r="P1545" s="748">
        <f>'Part IV-Uses of Funds'!P49</f>
        <v>0</v>
      </c>
      <c r="S1545" s="748">
        <f>'Part IV-Uses of Funds'!S49</f>
        <v>0</v>
      </c>
    </row>
    <row r="1546" spans="1:21" ht="13.15" customHeight="1">
      <c r="B1546" s="748" t="s">
        <v>3498</v>
      </c>
      <c r="G1546" s="748">
        <f>'Part IV-Uses of Funds'!G50</f>
        <v>15000</v>
      </c>
      <c r="J1546" s="748">
        <f>'Part IV-Uses of Funds'!J50</f>
        <v>15000</v>
      </c>
      <c r="M1546" s="748">
        <f>'Part IV-Uses of Funds'!M50</f>
        <v>0</v>
      </c>
      <c r="P1546" s="748">
        <f>'Part IV-Uses of Funds'!P50</f>
        <v>0</v>
      </c>
      <c r="S1546" s="748">
        <f>'Part IV-Uses of Funds'!S50</f>
        <v>0</v>
      </c>
    </row>
    <row r="1547" spans="1:21" ht="13.15" customHeight="1">
      <c r="B1547" s="748" t="s">
        <v>1093</v>
      </c>
      <c r="G1547" s="748">
        <f>'Part IV-Uses of Funds'!G51</f>
        <v>15000</v>
      </c>
      <c r="J1547" s="748">
        <f>'Part IV-Uses of Funds'!J51</f>
        <v>15000</v>
      </c>
      <c r="M1547" s="748">
        <f>'Part IV-Uses of Funds'!M51</f>
        <v>0</v>
      </c>
      <c r="P1547" s="748">
        <f>'Part IV-Uses of Funds'!P51</f>
        <v>0</v>
      </c>
      <c r="S1547" s="748">
        <f>'Part IV-Uses of Funds'!S51</f>
        <v>0</v>
      </c>
    </row>
    <row r="1548" spans="1:21" ht="13.15" customHeight="1">
      <c r="B1548" s="748" t="s">
        <v>3499</v>
      </c>
      <c r="G1548" s="748">
        <f>'Part IV-Uses of Funds'!G52</f>
        <v>21000</v>
      </c>
      <c r="J1548" s="748">
        <f>'Part IV-Uses of Funds'!J52</f>
        <v>21000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67013</v>
      </c>
      <c r="J1550" s="748">
        <f>'Part IV-Uses of Funds'!J54</f>
        <v>67013</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118013</v>
      </c>
      <c r="J1552" s="748">
        <f>SUM(J1544:K1551)</f>
        <v>118013</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115200</v>
      </c>
      <c r="J1554" s="748">
        <f>'Part IV-Uses of Funds'!J58</f>
        <v>115200</v>
      </c>
      <c r="M1554" s="748">
        <f>'Part IV-Uses of Funds'!M58</f>
        <v>0</v>
      </c>
      <c r="P1554" s="748">
        <f>'Part IV-Uses of Funds'!P58</f>
        <v>0</v>
      </c>
      <c r="S1554" s="748">
        <f>'Part IV-Uses of Funds'!S58</f>
        <v>0</v>
      </c>
    </row>
    <row r="1555" spans="1:21" ht="13.15" customHeight="1">
      <c r="B1555" s="748" t="s">
        <v>707</v>
      </c>
      <c r="G1555" s="748">
        <f>'Part IV-Uses of Funds'!G59</f>
        <v>38400</v>
      </c>
      <c r="J1555" s="748">
        <f>'Part IV-Uses of Funds'!J59</f>
        <v>38400</v>
      </c>
      <c r="M1555" s="748">
        <f>'Part IV-Uses of Funds'!M59</f>
        <v>0</v>
      </c>
      <c r="P1555" s="748">
        <f>'Part IV-Uses of Funds'!P59</f>
        <v>0</v>
      </c>
      <c r="S1555" s="748">
        <f>'Part IV-Uses of Funds'!S59</f>
        <v>0</v>
      </c>
    </row>
    <row r="1556" spans="1:21" ht="13.15" customHeight="1">
      <c r="B1556" s="748" t="s">
        <v>1762</v>
      </c>
      <c r="G1556" s="748">
        <f>'Part IV-Uses of Funds'!G60</f>
        <v>15000</v>
      </c>
      <c r="J1556" s="748">
        <f>'Part IV-Uses of Funds'!J60</f>
        <v>15000</v>
      </c>
      <c r="M1556" s="748">
        <f>'Part IV-Uses of Funds'!M60</f>
        <v>0</v>
      </c>
      <c r="P1556" s="748">
        <f>'Part IV-Uses of Funds'!P60</f>
        <v>0</v>
      </c>
      <c r="S1556" s="748">
        <f>'Part IV-Uses of Funds'!S60</f>
        <v>0</v>
      </c>
    </row>
    <row r="1557" spans="1:21" ht="13.15" customHeight="1">
      <c r="B1557" s="748" t="s">
        <v>1763</v>
      </c>
      <c r="G1557" s="748">
        <f>'Part IV-Uses of Funds'!G61</f>
        <v>5000</v>
      </c>
      <c r="J1557" s="748">
        <f>'Part IV-Uses of Funds'!J61</f>
        <v>5000</v>
      </c>
      <c r="M1557" s="748">
        <f>'Part IV-Uses of Funds'!M61</f>
        <v>0</v>
      </c>
      <c r="P1557" s="748">
        <f>'Part IV-Uses of Funds'!P61</f>
        <v>0</v>
      </c>
      <c r="S1557" s="748">
        <f>'Part IV-Uses of Funds'!S61</f>
        <v>0</v>
      </c>
    </row>
    <row r="1558" spans="1:21" ht="13.15" customHeight="1">
      <c r="B1558" s="748" t="s">
        <v>1764</v>
      </c>
      <c r="G1558" s="748">
        <f>'Part IV-Uses of Funds'!G62</f>
        <v>10000</v>
      </c>
      <c r="J1558" s="748">
        <f>'Part IV-Uses of Funds'!J62</f>
        <v>10000</v>
      </c>
      <c r="M1558" s="748">
        <f>'Part IV-Uses of Funds'!M62</f>
        <v>0</v>
      </c>
      <c r="P1558" s="748">
        <f>'Part IV-Uses of Funds'!P62</f>
        <v>0</v>
      </c>
      <c r="S1558" s="748">
        <f>'Part IV-Uses of Funds'!S62</f>
        <v>0</v>
      </c>
    </row>
    <row r="1559" spans="1:21" ht="13.15" customHeight="1">
      <c r="B1559" s="748" t="s">
        <v>1765</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708</v>
      </c>
      <c r="G1560" s="748">
        <f>'Part IV-Uses of Funds'!G64</f>
        <v>45000</v>
      </c>
      <c r="J1560" s="748">
        <f>'Part IV-Uses of Funds'!J64</f>
        <v>45000</v>
      </c>
      <c r="M1560" s="748">
        <f>'Part IV-Uses of Funds'!M64</f>
        <v>0</v>
      </c>
      <c r="P1560" s="748">
        <f>'Part IV-Uses of Funds'!P64</f>
        <v>0</v>
      </c>
      <c r="S1560" s="748">
        <f>'Part IV-Uses of Funds'!S64</f>
        <v>0</v>
      </c>
    </row>
    <row r="1561" spans="1:21" ht="13.15" customHeight="1">
      <c r="B1561" s="748" t="s">
        <v>709</v>
      </c>
      <c r="G1561" s="748">
        <f>'Part IV-Uses of Funds'!G65</f>
        <v>65000</v>
      </c>
      <c r="J1561" s="748">
        <f>'Part IV-Uses of Funds'!J65</f>
        <v>65000</v>
      </c>
      <c r="M1561" s="748">
        <f>'Part IV-Uses of Funds'!M65</f>
        <v>0</v>
      </c>
      <c r="P1561" s="748">
        <f>'Part IV-Uses of Funds'!P65</f>
        <v>0</v>
      </c>
      <c r="S1561" s="748">
        <f>'Part IV-Uses of Funds'!S65</f>
        <v>0</v>
      </c>
    </row>
    <row r="1562" spans="1:21" ht="13.15" customHeight="1">
      <c r="B1562" s="748" t="s">
        <v>3141</v>
      </c>
      <c r="G1562" s="748">
        <f>'Part IV-Uses of Funds'!G66</f>
        <v>7500</v>
      </c>
      <c r="J1562" s="748">
        <f>'Part IV-Uses of Funds'!J66</f>
        <v>7500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301100</v>
      </c>
      <c r="J1564" s="748">
        <f>SUM(J1554:K1563)</f>
        <v>301100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60000</v>
      </c>
      <c r="J1566" s="748">
        <f>'Part IV-Uses of Funds'!J70</f>
        <v>60000</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60680</v>
      </c>
      <c r="J1568" s="748">
        <f>'Part IV-Uses of Funds'!J72</f>
        <v>60680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27200</v>
      </c>
      <c r="J1569" s="748">
        <f>'Part IV-Uses of Funds'!J73</f>
        <v>27200</v>
      </c>
      <c r="M1569" s="748">
        <f>'Part IV-Uses of Funds'!M73</f>
        <v>0</v>
      </c>
      <c r="P1569" s="748">
        <f>'Part IV-Uses of Funds'!P73</f>
        <v>0</v>
      </c>
      <c r="S1569" s="748">
        <f>'Part IV-Uses of Funds'!S73</f>
        <v>0</v>
      </c>
    </row>
    <row r="1570" spans="1:21" ht="13.15" customHeight="1">
      <c r="F1570" s="748" t="s">
        <v>249</v>
      </c>
      <c r="G1570" s="748">
        <f>SUM(G1566:H1569)</f>
        <v>147880</v>
      </c>
      <c r="J1570" s="748">
        <f>SUM(J1566:K1569)</f>
        <v>147880</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21757</v>
      </c>
      <c r="J1574" s="748">
        <f>'Part IV-Uses of Funds'!J78</f>
        <v>21757</v>
      </c>
      <c r="M1574" s="748">
        <f>'Part IV-Uses of Funds'!M78</f>
        <v>0</v>
      </c>
      <c r="P1574" s="748">
        <f>'Part IV-Uses of Funds'!P78</f>
        <v>0</v>
      </c>
      <c r="S1574" s="748">
        <f>'Part IV-Uses of Funds'!S78</f>
        <v>0</v>
      </c>
    </row>
    <row r="1575" spans="1:21" ht="13.15" customHeight="1">
      <c r="B1575" s="748" t="s">
        <v>1962</v>
      </c>
      <c r="G1575" s="748">
        <f>'Part IV-Uses of Funds'!G79</f>
        <v>15000</v>
      </c>
      <c r="J1575" s="748">
        <f>'Part IV-Uses of Funds'!J79</f>
        <v>11827</v>
      </c>
      <c r="M1575" s="748">
        <f>'Part IV-Uses of Funds'!M79</f>
        <v>0</v>
      </c>
      <c r="P1575" s="748">
        <f>'Part IV-Uses of Funds'!P79</f>
        <v>0</v>
      </c>
      <c r="S1575" s="748">
        <f>'Part IV-Uses of Funds'!S79</f>
        <v>3173</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36757</v>
      </c>
      <c r="J1579" s="748">
        <f>SUM(J1574:K1578)</f>
        <v>33584</v>
      </c>
      <c r="M1579" s="748">
        <f>SUM(M1574:N1578)</f>
        <v>0</v>
      </c>
      <c r="P1579" s="748">
        <f>SUM(P1574:Q1578)</f>
        <v>0</v>
      </c>
      <c r="S1579" s="748">
        <f>SUM(S1572:T1578)</f>
        <v>3173</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1000</v>
      </c>
      <c r="S1585" s="748">
        <f>'Part IV-Uses of Funds'!S89</f>
        <v>1000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46063</v>
      </c>
      <c r="S1588" s="748">
        <f>'Part IV-Uses of Funds'!S92</f>
        <v>46063</v>
      </c>
    </row>
    <row r="1589" spans="1:21" ht="12.6" customHeight="1">
      <c r="B1589" s="748" t="s">
        <v>1245</v>
      </c>
      <c r="E1589" s="748">
        <f>'Part VI-Revenues &amp; Expenses'!$M$63*'DCA Underwriting Assumptions'!$Q$44</f>
        <v>44800</v>
      </c>
      <c r="G1589" s="748">
        <f>'Part IV-Uses of Funds'!G93</f>
        <v>44800</v>
      </c>
      <c r="S1589" s="748">
        <f>'Part IV-Uses of Funds'!S93</f>
        <v>44800</v>
      </c>
    </row>
    <row r="1590" spans="1:21" ht="12.6" customHeight="1">
      <c r="B1590" s="748" t="s">
        <v>716</v>
      </c>
      <c r="G1590" s="748">
        <f>'Part IV-Uses of Funds'!G94</f>
        <v>0</v>
      </c>
      <c r="S1590" s="748">
        <f>'Part IV-Uses of Funds'!S94</f>
        <v>0</v>
      </c>
    </row>
    <row r="1591" spans="1:21" ht="12.6" customHeight="1">
      <c r="B1591" s="748" t="s">
        <v>3553</v>
      </c>
      <c r="G1591" s="748">
        <f>'Part IV-Uses of Funds'!G95</f>
        <v>0</v>
      </c>
      <c r="S1591" s="748">
        <f>'Part IV-Uses of Funds'!S95</f>
        <v>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95863</v>
      </c>
      <c r="S1594" s="748">
        <f>SUM(S1585:T1593)</f>
        <v>95863</v>
      </c>
    </row>
    <row r="1595" spans="1:21" ht="13.15" customHeight="1">
      <c r="B1595" s="748" t="s">
        <v>3440</v>
      </c>
      <c r="O1595" s="748" t="str">
        <f>B1595</f>
        <v>EQUITY COSTS</v>
      </c>
    </row>
    <row r="1596" spans="1:21" ht="12.6" customHeight="1">
      <c r="B1596" s="748" t="s">
        <v>371</v>
      </c>
      <c r="G1596" s="748">
        <f>'Part IV-Uses of Funds'!G100</f>
        <v>500</v>
      </c>
      <c r="S1596" s="748">
        <f>'Part IV-Uses of Funds'!S100</f>
        <v>500</v>
      </c>
    </row>
    <row r="1597" spans="1:21" ht="12.6" customHeight="1">
      <c r="B1597" s="748" t="s">
        <v>373</v>
      </c>
      <c r="G1597" s="748">
        <f>'Part IV-Uses of Funds'!G101</f>
        <v>2500</v>
      </c>
      <c r="S1597" s="748">
        <f>'Part IV-Uses of Funds'!S101</f>
        <v>2500</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3000</v>
      </c>
      <c r="S1600" s="748">
        <f>SUM(S1596:T1599)</f>
        <v>3000</v>
      </c>
    </row>
    <row r="1601" spans="1:21" ht="13.15" customHeight="1">
      <c r="B1601" s="748" t="s">
        <v>374</v>
      </c>
      <c r="O1601" s="748" t="str">
        <f>B1601</f>
        <v>DEVELOPER'S FEE</v>
      </c>
    </row>
    <row r="1602" spans="1:21" ht="12.6" customHeight="1">
      <c r="B1602" s="748" t="s">
        <v>2915</v>
      </c>
      <c r="F1602" s="748" t="e">
        <f>G1602/$G$109</f>
        <v>#DIV/0!</v>
      </c>
      <c r="G1602" s="748">
        <f>'Part IV-Uses of Funds'!G106</f>
        <v>207508</v>
      </c>
      <c r="J1602" s="748">
        <f>'Part IV-Uses of Funds'!J106</f>
        <v>207508</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830032</v>
      </c>
      <c r="J1604" s="748">
        <f>'Part IV-Uses of Funds'!J108</f>
        <v>830032</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1037540</v>
      </c>
      <c r="J1605" s="748">
        <f>SUM(J1602:K1604)</f>
        <v>1037540</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30000</v>
      </c>
      <c r="S1607" s="748">
        <f>'Part IV-Uses of Funds'!S111</f>
        <v>30000</v>
      </c>
    </row>
    <row r="1608" spans="1:21" ht="12.6" customHeight="1">
      <c r="B1608" s="748" t="s">
        <v>2288</v>
      </c>
      <c r="G1608" s="748">
        <f>'Part IV-Uses of Funds'!G112</f>
        <v>77440</v>
      </c>
      <c r="S1608" s="748">
        <f>'Part IV-Uses of Funds'!S112</f>
        <v>77440</v>
      </c>
    </row>
    <row r="1609" spans="1:21" ht="12.6" customHeight="1">
      <c r="B1609" s="748" t="s">
        <v>1029</v>
      </c>
      <c r="G1609" s="748">
        <f>'Part IV-Uses of Funds'!G113</f>
        <v>139720</v>
      </c>
      <c r="S1609" s="748">
        <f>'Part IV-Uses of Funds'!S113</f>
        <v>139720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625</v>
      </c>
      <c r="G1611" s="748">
        <f>'Part IV-Uses of Funds'!G115</f>
        <v>40000</v>
      </c>
      <c r="J1611" s="748">
        <f>'Part IV-Uses of Funds'!J115</f>
        <v>40000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287160</v>
      </c>
      <c r="J1613" s="748">
        <f>SUM(J1611:K1612)</f>
        <v>40000</v>
      </c>
      <c r="M1613" s="748">
        <f>SUM(M1611:N1612)</f>
        <v>0</v>
      </c>
      <c r="P1613" s="748">
        <f>SUM(P1611:Q1612)</f>
        <v>0</v>
      </c>
      <c r="S1613" s="748">
        <f>SUM(S1607:T1612)</f>
        <v>247160</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8702973</v>
      </c>
      <c r="J1619" s="748">
        <f>J1513+J1519+J1523+J1528+J1532+J1538+J1552+J1564+J1570+J1579+J1594+J1600+J1605+J1613+J1617</f>
        <v>7311519</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1391454</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10360960</v>
      </c>
      <c r="F1621" s="748" t="s">
        <v>1039</v>
      </c>
      <c r="G1621" s="748">
        <f>G1619/'Part VI-Revenues &amp; Expenses'!$M$63</f>
        <v>135983.953125</v>
      </c>
      <c r="J1621" s="748" t="s">
        <v>1040</v>
      </c>
      <c r="M1621" s="748">
        <f>G1619/'Part VI-Revenues &amp; Expenses'!$M$98</f>
        <v>127.32579880617978</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2822</v>
      </c>
      <c r="J1636" s="748">
        <f>J1619</f>
        <v>7311519</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7311519</v>
      </c>
      <c r="M1638" s="748">
        <f>M1636</f>
        <v>0</v>
      </c>
      <c r="P1638" s="748">
        <f>P1636-P1637</f>
        <v>0</v>
      </c>
    </row>
    <row r="1639" spans="1:19" ht="13.9" customHeight="1">
      <c r="B1639" s="748" t="s">
        <v>2229</v>
      </c>
      <c r="G1639" s="748" t="s">
        <v>2735</v>
      </c>
      <c r="H1639" s="748" t="str">
        <f>'Part IV-Uses of Funds'!H143</f>
        <v>&lt;&lt;Select&gt;&gt;</v>
      </c>
      <c r="J1639" s="748">
        <f>'Part IV-Uses of Funds'!J143</f>
        <v>1</v>
      </c>
      <c r="P1639" s="748">
        <f>'Part IV-Uses of Funds'!P143</f>
        <v>1</v>
      </c>
    </row>
    <row r="1640" spans="1:19" ht="13.9" customHeight="1">
      <c r="B1640" s="748" t="s">
        <v>3150</v>
      </c>
      <c r="J1640" s="748">
        <f>J1638*J1639</f>
        <v>7311519</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7311519</v>
      </c>
      <c r="M1642" s="748">
        <f>M1640*M1641</f>
        <v>0</v>
      </c>
      <c r="P1642" s="748">
        <f>P1640*P1641</f>
        <v>0</v>
      </c>
    </row>
    <row r="1643" spans="1:19" ht="13.9" customHeight="1">
      <c r="B1643" s="748" t="s">
        <v>3138</v>
      </c>
      <c r="J1643" s="748">
        <f>'Part IV-Uses of Funds'!J147</f>
        <v>0.09</v>
      </c>
      <c r="M1643" s="748">
        <f>'Part IV-Uses of Funds'!M147</f>
        <v>0</v>
      </c>
      <c r="P1643" s="748">
        <f>'Part IV-Uses of Funds'!P147</f>
        <v>0.09</v>
      </c>
    </row>
    <row r="1644" spans="1:19" ht="13.9" customHeight="1">
      <c r="B1644" s="748" t="s">
        <v>3841</v>
      </c>
      <c r="J1644" s="748">
        <f>J1642*J1643</f>
        <v>658036.71</v>
      </c>
      <c r="M1644" s="748">
        <f>M1642*M1643</f>
        <v>0</v>
      </c>
      <c r="P1644" s="748">
        <f>P1642*P1643</f>
        <v>0</v>
      </c>
    </row>
    <row r="1645" spans="1:19" ht="13.9" customHeight="1">
      <c r="B1645" s="748" t="s">
        <v>2144</v>
      </c>
      <c r="J1645" s="748">
        <f>J1644+M1644+P1644</f>
        <v>658036.71</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8702973</v>
      </c>
      <c r="M1648" s="748" t="s">
        <v>3645</v>
      </c>
    </row>
    <row r="1649" spans="1:20" ht="13.9" customHeight="1">
      <c r="B1649" s="748" t="s">
        <v>3604</v>
      </c>
      <c r="J1649" s="748">
        <f>'Part IV-Uses of Funds'!J153</f>
        <v>8702973</v>
      </c>
    </row>
    <row r="1650" spans="1:20" ht="13.9" customHeight="1">
      <c r="B1650" s="748" t="s">
        <v>341</v>
      </c>
      <c r="J1650" s="749">
        <f>'Part III A-Sources of Funds'!$H$49-'Part III A-Sources of Funds'!$H$37-'Part III A-Sources of Funds'!$H$40-'Part III A-Sources of Funds'!$H$41</f>
        <v>1660000</v>
      </c>
      <c r="T1650" s="748" t="s">
        <v>344</v>
      </c>
    </row>
    <row r="1651" spans="1:20" ht="13.9" customHeight="1">
      <c r="B1651" s="748" t="s">
        <v>3357</v>
      </c>
      <c r="J1651" s="748">
        <f>+J1649-J1650</f>
        <v>7042973</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704297.3</v>
      </c>
      <c r="N1653" s="748" t="s">
        <v>1989</v>
      </c>
      <c r="Q1653" s="748" t="s">
        <v>2831</v>
      </c>
    </row>
    <row r="1654" spans="1:20" ht="13.9" customHeight="1">
      <c r="B1654" s="748" t="s">
        <v>4059</v>
      </c>
      <c r="J1654" s="748">
        <f>N1654+Q1654</f>
        <v>1.0669999999999999</v>
      </c>
      <c r="M1654" s="748" t="s">
        <v>1990</v>
      </c>
      <c r="N1654" s="748">
        <f>'Part IV-Uses of Funds'!N158</f>
        <v>0.81699999999999995</v>
      </c>
      <c r="P1654" s="748" t="s">
        <v>946</v>
      </c>
      <c r="Q1654" s="748">
        <f>'Part IV-Uses of Funds'!Q158</f>
        <v>0.25</v>
      </c>
    </row>
    <row r="1655" spans="1:20" ht="13.9" customHeight="1">
      <c r="B1655" s="748" t="s">
        <v>2145</v>
      </c>
      <c r="J1655" s="748">
        <f>IF(J1654=0,"",J1653/J1654)</f>
        <v>660072.44611059048</v>
      </c>
    </row>
    <row r="1656" spans="1:20" ht="9" customHeight="1"/>
    <row r="1657" spans="1:20" ht="16.149999999999999" customHeight="1">
      <c r="B1657" s="748" t="s">
        <v>3605</v>
      </c>
      <c r="J1657" s="748">
        <f>+MIN(J1645,J1655,'DCA Underwriting Assumptions'!$R$6)</f>
        <v>658036.71</v>
      </c>
    </row>
    <row r="1658" spans="1:20" ht="9.6" customHeight="1"/>
    <row r="1659" spans="1:20" ht="16.149999999999999" customHeight="1">
      <c r="B1659" s="748" t="s">
        <v>3606</v>
      </c>
      <c r="J1659" s="748">
        <f>'Part IV-Uses of Funds'!J163</f>
        <v>658037</v>
      </c>
      <c r="M1659" s="748" t="str">
        <f>IF(J1659&gt;J1657,"ALLOCATION CANNOT EXCEED MAXIMUM - REVISE ALLOCATION!","")</f>
        <v>ALLOCATION CANNOT EXCEED MAXIMUM - REVISE ALLOCATION!</v>
      </c>
    </row>
    <row r="1660" spans="1:20" ht="9.6" customHeight="1"/>
    <row r="1661" spans="1:20" ht="16.149999999999999" customHeight="1">
      <c r="A1661" s="748" t="s">
        <v>2824</v>
      </c>
      <c r="B1661" s="748" t="s">
        <v>3607</v>
      </c>
      <c r="J1661" s="748">
        <f>+MIN(J1657,J1659)</f>
        <v>658036.71</v>
      </c>
    </row>
    <row r="1662" spans="1:20" ht="3" customHeight="1"/>
    <row r="1663" spans="1:20" ht="6" customHeight="1"/>
    <row r="1664" spans="1:20" ht="12" customHeight="1">
      <c r="A1664" s="748" t="s">
        <v>2826</v>
      </c>
      <c r="B1664" s="748" t="s">
        <v>880</v>
      </c>
      <c r="K1664" s="748" t="s">
        <v>823</v>
      </c>
      <c r="L1664" s="748" t="s">
        <v>89</v>
      </c>
    </row>
    <row r="1665" spans="1:12" ht="107.45" customHeight="1">
      <c r="A1665" s="748" t="str">
        <f>'Part IV-Uses of Funds'!A169</f>
        <v>Construction costs are based on Powell Place Apartments which have just been completed. The building types are identical and Powell Place has Earthcraft Building design requirements incorporated.</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2011-020 Heritage Vista Apartments, ,  County</v>
      </c>
    </row>
    <row r="1675" spans="1:12">
      <c r="F1675" s="748" t="s">
        <v>807</v>
      </c>
      <c r="I1675" s="748" t="str">
        <f>VLOOKUP('Part I-Project Information'!$J$25,'Part I-Project Information'!$C$183:$D$342,2)</f>
        <v>Middle</v>
      </c>
    </row>
    <row r="1677" spans="1:12">
      <c r="A1677" s="748" t="s">
        <v>951</v>
      </c>
      <c r="B1677" s="748" t="s">
        <v>3352</v>
      </c>
      <c r="F1677" s="748" t="s">
        <v>3806</v>
      </c>
      <c r="I1677" s="748" t="str">
        <f>'Part V-Utility Allowances'!I5</f>
        <v>DCA Utility Allowance Middle Region</v>
      </c>
    </row>
    <row r="1678" spans="1:12">
      <c r="F1678" s="748" t="s">
        <v>973</v>
      </c>
      <c r="I1678" s="748">
        <f>'Part V-Utility Allowances'!I6</f>
        <v>40695</v>
      </c>
      <c r="K1678" s="748" t="s">
        <v>834</v>
      </c>
      <c r="L1678" s="748" t="str">
        <f>'Part V-Utility Allowances'!L6</f>
        <v>2-Story Walkup</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13</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49</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14</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44</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41</v>
      </c>
      <c r="M1686" s="748">
        <f>'Part V-Utility Allowances'!M14</f>
        <v>0</v>
      </c>
    </row>
    <row r="1687" spans="1:13">
      <c r="B1687" s="748" t="s">
        <v>2073</v>
      </c>
      <c r="D1687" s="748" t="s">
        <v>3351</v>
      </c>
      <c r="E1687" s="748" t="str">
        <f>'Part V-Utility Allowances'!E15</f>
        <v>Yes</v>
      </c>
      <c r="F1687" s="748" t="str">
        <f>'Part V-Utility Allowances'!F15</f>
        <v>X</v>
      </c>
      <c r="G1687" s="748">
        <f>'Part V-Utility Allowances'!G15</f>
        <v>0</v>
      </c>
      <c r="I1687" s="748">
        <f>'Part V-Utility Allowances'!I15</f>
        <v>0</v>
      </c>
      <c r="J1687" s="748">
        <f>'Part V-Utility Allowances'!J15</f>
        <v>20</v>
      </c>
      <c r="K1687" s="748">
        <f>'Part V-Utility Allowances'!K15</f>
        <v>26</v>
      </c>
      <c r="L1687" s="748">
        <f>'Part V-Utility Allowances'!L15</f>
        <v>31</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30</v>
      </c>
      <c r="K1688" s="748">
        <f>'Part V-Utility Allowances'!K16</f>
        <v>38</v>
      </c>
      <c r="L1688" s="748">
        <f>'Part V-Utility Allowances'!L16</f>
        <v>47</v>
      </c>
      <c r="M1688" s="748">
        <f>'Part V-Utility Allowances'!M16</f>
        <v>0</v>
      </c>
    </row>
    <row r="1689" spans="1:13">
      <c r="B1689" s="748" t="s">
        <v>1641</v>
      </c>
      <c r="I1689" s="748">
        <f>SUM(I1682:I1688)</f>
        <v>0</v>
      </c>
      <c r="J1689" s="748">
        <f>SUM(J1682:J1688)</f>
        <v>152</v>
      </c>
      <c r="K1689" s="748">
        <f>SUM(K1682:K1688)</f>
        <v>195</v>
      </c>
      <c r="L1689" s="748">
        <f>SUM(L1682:L1688)</f>
        <v>239</v>
      </c>
      <c r="M1689" s="748">
        <f>SUM(M1682:M1688)</f>
        <v>0</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2841</v>
      </c>
    </row>
    <row r="1707" spans="2:13">
      <c r="B1707" s="748" t="s">
        <v>880</v>
      </c>
    </row>
    <row r="1708" spans="2:13">
      <c r="B1708" s="748">
        <f>'Part V-Utility Allowances'!B36</f>
        <v>0</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2011-020 Heritage Vista Apartments, ,  County</v>
      </c>
    </row>
    <row r="1717" spans="1:219" ht="12" customHeight="1"/>
    <row r="1718" spans="1:219" ht="12.6" customHeight="1">
      <c r="A1718" s="748" t="s">
        <v>951</v>
      </c>
      <c r="B1718" s="748" t="s">
        <v>3572</v>
      </c>
      <c r="D1718" s="748" t="s">
        <v>328</v>
      </c>
      <c r="N1718" s="748" t="s">
        <v>887</v>
      </c>
      <c r="O1718" s="748" t="str">
        <f>'Part I-Project Information'!$J$26</f>
        <v>Baldwin Co.</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2849</v>
      </c>
      <c r="DT1719" s="748" t="s">
        <v>2850</v>
      </c>
      <c r="DU1719" s="748" t="s">
        <v>2851</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t="str">
        <f>'Part VI-Revenues &amp; Expenses'!G5</f>
        <v>Floating</v>
      </c>
      <c r="P1720" s="748" t="s">
        <v>1659</v>
      </c>
    </row>
    <row r="1721" spans="1:219" ht="13.15" customHeight="1">
      <c r="B1721" s="748" t="s">
        <v>2840</v>
      </c>
      <c r="G1721" s="748" t="str">
        <f>'Part VI-Revenues &amp; Expenses'!G6</f>
        <v>No</v>
      </c>
      <c r="J1721" s="748" t="s">
        <v>3646</v>
      </c>
      <c r="P1721" s="748">
        <f>VLOOKUP('Part I-Project Information'!$J$26,'DCA Underwriting Assumptions'!$C$77:$D$187,2)</f>
        <v>55600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4060</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842</v>
      </c>
      <c r="G1725" s="748">
        <f>'Part VI-Revenues &amp; Expenses'!G10</f>
        <v>466</v>
      </c>
      <c r="H1725" s="748">
        <f>'Part VI-Revenues &amp; Expenses'!H10</f>
        <v>462</v>
      </c>
      <c r="I1725" s="748">
        <f>'Part VI-Revenues &amp; Expenses'!I10</f>
        <v>152</v>
      </c>
      <c r="J1725" s="748">
        <f>'Part VI-Revenues &amp; Expenses'!J10</f>
        <v>0</v>
      </c>
      <c r="K1725" s="748">
        <f>MAX(0,H1725-I1725)</f>
        <v>310</v>
      </c>
      <c r="L1725" s="748">
        <f t="shared" ref="L1725:L1762" si="99">MAX(0,E1725*K1725)</f>
        <v>620</v>
      </c>
      <c r="M1725" s="748" t="str">
        <f>'Part VI-Revenues &amp; Expenses'!M10</f>
        <v>No</v>
      </c>
      <c r="N1725" s="748" t="str">
        <f>'Part VI-Revenues &amp; Expenses'!N10</f>
        <v>2-Story Walkup</v>
      </c>
      <c r="O1725" s="748" t="str">
        <f>'Part VI-Revenues &amp; Expenses'!O10</f>
        <v>New Construction</v>
      </c>
      <c r="P1725" s="748">
        <f>'Part VI-Revenues &amp; Expenses'!P10</f>
        <v>18480</v>
      </c>
      <c r="Q1725" s="748">
        <f>'Part VI-Revenues &amp; Expenses'!Q10</f>
        <v>0.44316546762589926</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1684</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2</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f t="shared" ref="GD1725:GD1762" si="236">IF(AND($C1725=1, $N1725="2-Story Walkup"),$E1725,"")</f>
        <v>2</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8</v>
      </c>
      <c r="F1726" s="748">
        <f>'Part VI-Revenues &amp; Expenses'!F11</f>
        <v>1056</v>
      </c>
      <c r="G1726" s="748">
        <f>'Part VI-Revenues &amp; Expenses'!G11</f>
        <v>560</v>
      </c>
      <c r="H1726" s="748">
        <f>'Part VI-Revenues &amp; Expenses'!H11</f>
        <v>555</v>
      </c>
      <c r="I1726" s="748">
        <f>'Part VI-Revenues &amp; Expenses'!I11</f>
        <v>195</v>
      </c>
      <c r="J1726" s="748">
        <f>'Part VI-Revenues &amp; Expenses'!J11</f>
        <v>0</v>
      </c>
      <c r="K1726" s="748">
        <f t="shared" ref="K1726:K1742" si="271">MAX(0,H1726-I1726)</f>
        <v>360</v>
      </c>
      <c r="L1726" s="748">
        <f t="shared" si="99"/>
        <v>2880</v>
      </c>
      <c r="M1726" s="748" t="str">
        <f>'Part VI-Revenues &amp; Expenses'!M11</f>
        <v>No</v>
      </c>
      <c r="N1726" s="748" t="str">
        <f>'Part VI-Revenues &amp; Expenses'!N11</f>
        <v>2-Story Walkup</v>
      </c>
      <c r="O1726" s="748" t="str">
        <f>'Part VI-Revenues &amp; Expenses'!O11</f>
        <v>New Construction</v>
      </c>
      <c r="P1726" s="748">
        <f>'Part VI-Revenues &amp; Expenses'!P11</f>
        <v>22200</v>
      </c>
      <c r="Q1726" s="748">
        <f>'Part VI-Revenues &amp; Expenses'!Q11</f>
        <v>0.44364508393285373</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8</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8448</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8</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8</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f t="shared" si="237"/>
        <v>8</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3</v>
      </c>
      <c r="F1727" s="748">
        <f>'Part VI-Revenues &amp; Expenses'!F12</f>
        <v>1211</v>
      </c>
      <c r="G1727" s="748">
        <f>'Part VI-Revenues &amp; Expenses'!G12</f>
        <v>646</v>
      </c>
      <c r="H1727" s="748">
        <f>'Part VI-Revenues &amp; Expenses'!H12</f>
        <v>639</v>
      </c>
      <c r="I1727" s="748">
        <f>'Part VI-Revenues &amp; Expenses'!I12</f>
        <v>239</v>
      </c>
      <c r="J1727" s="748">
        <f>'Part VI-Revenues &amp; Expenses'!J12</f>
        <v>0</v>
      </c>
      <c r="K1727" s="748">
        <f t="shared" si="271"/>
        <v>400</v>
      </c>
      <c r="L1727" s="748">
        <f t="shared" si="99"/>
        <v>1200</v>
      </c>
      <c r="M1727" s="748" t="str">
        <f>'Part VI-Revenues &amp; Expenses'!M12</f>
        <v>No</v>
      </c>
      <c r="N1727" s="748" t="str">
        <f>'Part VI-Revenues &amp; Expenses'!N12</f>
        <v>2-Story Walkup</v>
      </c>
      <c r="O1727" s="748" t="str">
        <f>'Part VI-Revenues &amp; Expenses'!O12</f>
        <v>New Construction</v>
      </c>
      <c r="P1727" s="748">
        <f>'Part VI-Revenues &amp; Expenses'!P12</f>
        <v>25560</v>
      </c>
      <c r="Q1727" s="748">
        <f>'Part VI-Revenues &amp; Expenses'!Q12</f>
        <v>0.44203099059214168</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3</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3633</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3</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3</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f t="shared" si="238"/>
        <v>3</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6</v>
      </c>
      <c r="F1728" s="748">
        <f>'Part VI-Revenues &amp; Expenses'!F13</f>
        <v>842</v>
      </c>
      <c r="G1728" s="748">
        <f>'Part VI-Revenues &amp; Expenses'!G13</f>
        <v>509</v>
      </c>
      <c r="H1728" s="748">
        <f>'Part VI-Revenues &amp; Expenses'!H13</f>
        <v>507</v>
      </c>
      <c r="I1728" s="748">
        <f>'Part VI-Revenues &amp; Expenses'!I13</f>
        <v>152</v>
      </c>
      <c r="J1728" s="748">
        <f>'Part VI-Revenues &amp; Expenses'!J13</f>
        <v>0</v>
      </c>
      <c r="K1728" s="748">
        <f t="shared" si="271"/>
        <v>355</v>
      </c>
      <c r="L1728" s="748">
        <f t="shared" si="99"/>
        <v>2130</v>
      </c>
      <c r="M1728" s="748" t="str">
        <f>'Part VI-Revenues &amp; Expenses'!M13</f>
        <v>No</v>
      </c>
      <c r="N1728" s="748" t="str">
        <f>'Part VI-Revenues &amp; Expenses'!N13</f>
        <v>2-Story Walkup</v>
      </c>
      <c r="O1728" s="748" t="str">
        <f>'Part VI-Revenues &amp; Expenses'!O13</f>
        <v>New Construction</v>
      </c>
      <c r="P1728" s="748">
        <f>'Part VI-Revenues &amp; Expenses'!P13</f>
        <v>20280</v>
      </c>
      <c r="Q1728" s="748">
        <f>'Part VI-Revenues &amp; Expenses'!Q13</f>
        <v>0.48633093525179855</v>
      </c>
      <c r="R1728" s="748">
        <f>'Part VI-Revenues &amp; Expenses'!R13</f>
        <v>0</v>
      </c>
      <c r="T1728" s="748" t="str">
        <f t="shared" si="100"/>
        <v/>
      </c>
      <c r="U1728" s="748">
        <f t="shared" si="101"/>
        <v>6</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5052</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f t="shared" si="156"/>
        <v>6</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6</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f t="shared" si="236"/>
        <v>6</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31</v>
      </c>
      <c r="F1729" s="748">
        <f>'Part VI-Revenues &amp; Expenses'!F14</f>
        <v>1056</v>
      </c>
      <c r="G1729" s="748">
        <f>'Part VI-Revenues &amp; Expenses'!G14</f>
        <v>632</v>
      </c>
      <c r="H1729" s="748">
        <f>'Part VI-Revenues &amp; Expenses'!H14</f>
        <v>630</v>
      </c>
      <c r="I1729" s="748">
        <f>'Part VI-Revenues &amp; Expenses'!I14</f>
        <v>195</v>
      </c>
      <c r="J1729" s="748">
        <f>'Part VI-Revenues &amp; Expenses'!J14</f>
        <v>0</v>
      </c>
      <c r="K1729" s="748">
        <f t="shared" si="271"/>
        <v>435</v>
      </c>
      <c r="L1729" s="748">
        <f t="shared" si="99"/>
        <v>13485</v>
      </c>
      <c r="M1729" s="748" t="str">
        <f>'Part VI-Revenues &amp; Expenses'!M14</f>
        <v>No</v>
      </c>
      <c r="N1729" s="748" t="str">
        <f>'Part VI-Revenues &amp; Expenses'!N14</f>
        <v>2-Story Walkup</v>
      </c>
      <c r="O1729" s="748" t="str">
        <f>'Part VI-Revenues &amp; Expenses'!O14</f>
        <v>New Construction</v>
      </c>
      <c r="P1729" s="748">
        <f>'Part VI-Revenues &amp; Expenses'!P14</f>
        <v>25200</v>
      </c>
      <c r="Q1729" s="748">
        <f>'Part VI-Revenues &amp; Expenses'!Q14</f>
        <v>0.50359712230215825</v>
      </c>
      <c r="R1729" s="748">
        <f>'Part VI-Revenues &amp; Expenses'!R14</f>
        <v>0</v>
      </c>
      <c r="T1729" s="748" t="str">
        <f t="shared" si="100"/>
        <v/>
      </c>
      <c r="U1729" s="748" t="str">
        <f t="shared" si="101"/>
        <v/>
      </c>
      <c r="V1729" s="748">
        <f t="shared" si="102"/>
        <v>31</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32736</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31</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31</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f t="shared" si="237"/>
        <v>31</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13</v>
      </c>
      <c r="F1730" s="748">
        <f>'Part VI-Revenues &amp; Expenses'!F15</f>
        <v>1211</v>
      </c>
      <c r="G1730" s="748">
        <f>'Part VI-Revenues &amp; Expenses'!G15</f>
        <v>755</v>
      </c>
      <c r="H1730" s="748">
        <f>'Part VI-Revenues &amp; Expenses'!H15</f>
        <v>739</v>
      </c>
      <c r="I1730" s="748">
        <f>'Part VI-Revenues &amp; Expenses'!I15</f>
        <v>239</v>
      </c>
      <c r="J1730" s="748">
        <f>'Part VI-Revenues &amp; Expenses'!J15</f>
        <v>0</v>
      </c>
      <c r="K1730" s="748">
        <f t="shared" si="271"/>
        <v>500</v>
      </c>
      <c r="L1730" s="748">
        <f t="shared" si="99"/>
        <v>6500</v>
      </c>
      <c r="M1730" s="748" t="str">
        <f>'Part VI-Revenues &amp; Expenses'!M15</f>
        <v>No</v>
      </c>
      <c r="N1730" s="748" t="str">
        <f>'Part VI-Revenues &amp; Expenses'!N15</f>
        <v>2-Story Walkup</v>
      </c>
      <c r="O1730" s="748" t="str">
        <f>'Part VI-Revenues &amp; Expenses'!O15</f>
        <v>New Construction</v>
      </c>
      <c r="P1730" s="748">
        <f>'Part VI-Revenues &amp; Expenses'!P15</f>
        <v>29560</v>
      </c>
      <c r="Q1730" s="748">
        <f>'Part VI-Revenues &amp; Expenses'!Q15</f>
        <v>0.51120641947980072</v>
      </c>
      <c r="R1730" s="748">
        <f>'Part VI-Revenues &amp; Expenses'!R15</f>
        <v>0</v>
      </c>
      <c r="T1730" s="748" t="str">
        <f t="shared" si="100"/>
        <v/>
      </c>
      <c r="U1730" s="748" t="str">
        <f t="shared" si="101"/>
        <v/>
      </c>
      <c r="V1730" s="748" t="str">
        <f t="shared" si="102"/>
        <v/>
      </c>
      <c r="W1730" s="748">
        <f t="shared" si="103"/>
        <v>13</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15743</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13</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13</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f t="shared" si="238"/>
        <v>13</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N/A-CS</v>
      </c>
      <c r="C1731" s="748">
        <f>'Part VI-Revenues &amp; Expenses'!C16</f>
        <v>2</v>
      </c>
      <c r="D1731" s="748">
        <f>'Part VI-Revenues &amp; Expenses'!D16</f>
        <v>2</v>
      </c>
      <c r="E1731" s="748">
        <f>'Part VI-Revenues &amp; Expenses'!E16</f>
        <v>1</v>
      </c>
      <c r="F1731" s="748">
        <f>'Part VI-Revenues &amp; Expenses'!F16</f>
        <v>1056</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t="str">
        <f>'Part VI-Revenues &amp; Expenses'!M16</f>
        <v>Common</v>
      </c>
      <c r="N1731" s="748" t="str">
        <f>'Part VI-Revenues &amp; Expenses'!N16</f>
        <v>2-Story Walkup</v>
      </c>
      <c r="O1731" s="748" t="str">
        <f>'Part VI-Revenues &amp; Expenses'!O16</f>
        <v>New Construction</v>
      </c>
      <c r="P1731" s="748">
        <f>'Part VI-Revenues &amp; Expenses'!P16</f>
        <v>0</v>
      </c>
      <c r="Q1731" s="748">
        <f>'Part VI-Revenues &amp; Expenses'!Q16</f>
        <v>0</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f t="shared" si="122"/>
        <v>1</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f t="shared" si="152"/>
        <v>1056</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f t="shared" si="167"/>
        <v>1</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1</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f t="shared" si="237"/>
        <v>1</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64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68352</v>
      </c>
      <c r="K1763" s="748" t="s">
        <v>2003</v>
      </c>
      <c r="L1763" s="748">
        <f>SUM(L1725:L1762)</f>
        <v>26815</v>
      </c>
      <c r="T1763" s="748">
        <f t="shared" ref="T1763:CE1763" si="304">SUM(T1725:T1762)</f>
        <v>0</v>
      </c>
      <c r="U1763" s="748">
        <f t="shared" si="304"/>
        <v>6</v>
      </c>
      <c r="V1763" s="748">
        <f t="shared" si="304"/>
        <v>31</v>
      </c>
      <c r="W1763" s="748">
        <f t="shared" si="304"/>
        <v>13</v>
      </c>
      <c r="X1763" s="748">
        <f t="shared" si="304"/>
        <v>0</v>
      </c>
      <c r="Y1763" s="748">
        <f t="shared" si="304"/>
        <v>0</v>
      </c>
      <c r="Z1763" s="748">
        <f t="shared" si="304"/>
        <v>2</v>
      </c>
      <c r="AA1763" s="748">
        <f t="shared" si="304"/>
        <v>8</v>
      </c>
      <c r="AB1763" s="748">
        <f t="shared" si="304"/>
        <v>3</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5052</v>
      </c>
      <c r="BY1763" s="748">
        <f t="shared" si="304"/>
        <v>32736</v>
      </c>
      <c r="BZ1763" s="748">
        <f t="shared" si="304"/>
        <v>15743</v>
      </c>
      <c r="CA1763" s="748">
        <f t="shared" si="304"/>
        <v>0</v>
      </c>
      <c r="CB1763" s="748">
        <f t="shared" si="304"/>
        <v>0</v>
      </c>
      <c r="CC1763" s="748">
        <f t="shared" si="304"/>
        <v>1684</v>
      </c>
      <c r="CD1763" s="748">
        <f t="shared" si="304"/>
        <v>8448</v>
      </c>
      <c r="CE1763" s="748">
        <f t="shared" si="304"/>
        <v>3633</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1056</v>
      </c>
      <c r="CY1763" s="748">
        <f t="shared" si="305"/>
        <v>0</v>
      </c>
      <c r="CZ1763" s="748">
        <f t="shared" si="305"/>
        <v>0</v>
      </c>
      <c r="DA1763" s="748">
        <f t="shared" si="305"/>
        <v>0</v>
      </c>
      <c r="DB1763" s="748">
        <f t="shared" si="305"/>
        <v>8</v>
      </c>
      <c r="DC1763" s="748">
        <f t="shared" si="305"/>
        <v>39</v>
      </c>
      <c r="DD1763" s="748">
        <f t="shared" si="305"/>
        <v>16</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1</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v>
      </c>
      <c r="EV1763" s="748">
        <f t="shared" si="306"/>
        <v>40</v>
      </c>
      <c r="EW1763" s="748">
        <f t="shared" si="306"/>
        <v>16</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8</v>
      </c>
      <c r="GE1763" s="748">
        <f t="shared" si="306"/>
        <v>40</v>
      </c>
      <c r="GF1763" s="748">
        <f t="shared" si="306"/>
        <v>16</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321780</v>
      </c>
    </row>
    <row r="1765" spans="1:219" ht="6" customHeight="1"/>
    <row r="1766" spans="1:219" ht="14.45" customHeight="1">
      <c r="A1766" s="748" t="s">
        <v>4061</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6</v>
      </c>
      <c r="J1772" s="748">
        <f>V1763</f>
        <v>31</v>
      </c>
      <c r="K1772" s="748">
        <f>W1763</f>
        <v>13</v>
      </c>
      <c r="L1772" s="748">
        <f>X1763</f>
        <v>0</v>
      </c>
      <c r="M1772" s="748">
        <f t="shared" ref="M1772:M1778" si="308">SUM(H1772:L1772)</f>
        <v>50</v>
      </c>
      <c r="N1772" s="748" t="s">
        <v>1484</v>
      </c>
      <c r="Q1772" s="748">
        <f t="shared" ref="Q1772:Q1778" si="309">ABS(M1772-AD1772)</f>
        <v>0</v>
      </c>
      <c r="T1772" s="748" t="s">
        <v>1779</v>
      </c>
      <c r="X1772" s="748" t="s">
        <v>1792</v>
      </c>
      <c r="Y1772" s="748">
        <f>T1763</f>
        <v>0</v>
      </c>
      <c r="Z1772" s="748">
        <f>U1763</f>
        <v>6</v>
      </c>
      <c r="AA1772" s="748">
        <f>V1763</f>
        <v>31</v>
      </c>
      <c r="AB1772" s="748">
        <f>W1763</f>
        <v>13</v>
      </c>
      <c r="AC1772" s="748">
        <f>X1763</f>
        <v>0</v>
      </c>
      <c r="AD1772" s="748">
        <f t="shared" ref="AD1772:AD1778" si="310">SUM(Y1772:AC1772)</f>
        <v>50</v>
      </c>
      <c r="AE1772" s="748" t="s">
        <v>1556</v>
      </c>
    </row>
    <row r="1773" spans="1:219" ht="15" customHeight="1">
      <c r="A1773" s="748" t="s">
        <v>653</v>
      </c>
      <c r="G1773" s="748" t="s">
        <v>133</v>
      </c>
      <c r="H1773" s="748">
        <f>Y1763</f>
        <v>0</v>
      </c>
      <c r="I1773" s="748">
        <f>Z1763</f>
        <v>2</v>
      </c>
      <c r="J1773" s="748">
        <f>AA1763</f>
        <v>8</v>
      </c>
      <c r="K1773" s="748">
        <f>AB1763</f>
        <v>3</v>
      </c>
      <c r="L1773" s="748">
        <f>AC1763</f>
        <v>0</v>
      </c>
      <c r="M1773" s="748">
        <f t="shared" si="308"/>
        <v>13</v>
      </c>
      <c r="Q1773" s="748">
        <f t="shared" si="309"/>
        <v>0</v>
      </c>
      <c r="X1773" s="748" t="s">
        <v>133</v>
      </c>
      <c r="Y1773" s="748">
        <f>Y1763</f>
        <v>0</v>
      </c>
      <c r="Z1773" s="748">
        <f>Z1763</f>
        <v>2</v>
      </c>
      <c r="AA1773" s="748">
        <f>AA1763</f>
        <v>8</v>
      </c>
      <c r="AB1773" s="748">
        <f>AB1763</f>
        <v>3</v>
      </c>
      <c r="AC1773" s="748">
        <f>AC1763</f>
        <v>0</v>
      </c>
      <c r="AD1773" s="748">
        <f t="shared" si="310"/>
        <v>13</v>
      </c>
    </row>
    <row r="1774" spans="1:219" ht="15" customHeight="1">
      <c r="G1774" s="748" t="s">
        <v>833</v>
      </c>
      <c r="H1774" s="748">
        <f>SUM(H1772:H1773)</f>
        <v>0</v>
      </c>
      <c r="I1774" s="748">
        <f>SUM(I1772:I1773)</f>
        <v>8</v>
      </c>
      <c r="J1774" s="748">
        <f>SUM(J1772:J1773)</f>
        <v>39</v>
      </c>
      <c r="K1774" s="748">
        <f>SUM(K1772:K1773)</f>
        <v>16</v>
      </c>
      <c r="L1774" s="748">
        <f>SUM(L1772:L1773)</f>
        <v>0</v>
      </c>
      <c r="M1774" s="748">
        <f t="shared" si="308"/>
        <v>63</v>
      </c>
      <c r="Q1774" s="748">
        <f t="shared" si="309"/>
        <v>0</v>
      </c>
      <c r="X1774" s="748" t="s">
        <v>833</v>
      </c>
      <c r="Y1774" s="748">
        <f>SUM(Y1772:Y1773)</f>
        <v>0</v>
      </c>
      <c r="Z1774" s="748">
        <f>SUM(Z1772:Z1773)</f>
        <v>8</v>
      </c>
      <c r="AA1774" s="748">
        <f>SUM(AA1772:AA1773)</f>
        <v>39</v>
      </c>
      <c r="AB1774" s="748">
        <f>SUM(AB1772:AB1773)</f>
        <v>16</v>
      </c>
      <c r="AC1774" s="748">
        <f>SUM(AC1772:AC1773)</f>
        <v>0</v>
      </c>
      <c r="AD1774" s="748">
        <f t="shared" si="310"/>
        <v>63</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8</v>
      </c>
      <c r="J1776" s="748">
        <f>SUM(J1774:J1775)</f>
        <v>39</v>
      </c>
      <c r="K1776" s="748">
        <f>SUM(K1774:K1775)</f>
        <v>16</v>
      </c>
      <c r="L1776" s="748">
        <f>SUM(L1774:L1775)</f>
        <v>0</v>
      </c>
      <c r="M1776" s="748">
        <f t="shared" si="308"/>
        <v>63</v>
      </c>
      <c r="Q1776" s="748">
        <f t="shared" si="309"/>
        <v>0</v>
      </c>
      <c r="T1776" s="748" t="s">
        <v>1780</v>
      </c>
      <c r="Y1776" s="748">
        <f>SUM(Y1774:Y1775)</f>
        <v>0</v>
      </c>
      <c r="Z1776" s="748">
        <f>SUM(Z1774:Z1775)</f>
        <v>8</v>
      </c>
      <c r="AA1776" s="748">
        <f>SUM(AA1774:AA1775)</f>
        <v>39</v>
      </c>
      <c r="AB1776" s="748">
        <f>SUM(AB1774:AB1775)</f>
        <v>16</v>
      </c>
      <c r="AC1776" s="748">
        <f>SUM(AC1774:AC1775)</f>
        <v>0</v>
      </c>
      <c r="AD1776" s="748">
        <f t="shared" si="310"/>
        <v>63</v>
      </c>
    </row>
    <row r="1777" spans="3:31" ht="15" customHeight="1">
      <c r="C1777" s="748" t="s">
        <v>3798</v>
      </c>
      <c r="H1777" s="748">
        <f>BR1763</f>
        <v>0</v>
      </c>
      <c r="I1777" s="748">
        <f>BS1763</f>
        <v>0</v>
      </c>
      <c r="J1777" s="748">
        <f>BT1763</f>
        <v>1</v>
      </c>
      <c r="K1777" s="748">
        <f>BU1763</f>
        <v>0</v>
      </c>
      <c r="L1777" s="748">
        <f>BV1763</f>
        <v>0</v>
      </c>
      <c r="M1777" s="748">
        <f t="shared" si="308"/>
        <v>1</v>
      </c>
      <c r="N1777" s="748" t="s">
        <v>3329</v>
      </c>
      <c r="Q1777" s="748">
        <f t="shared" si="309"/>
        <v>0</v>
      </c>
      <c r="T1777" s="748" t="s">
        <v>3798</v>
      </c>
      <c r="Y1777" s="748">
        <f>BR1763</f>
        <v>0</v>
      </c>
      <c r="Z1777" s="748">
        <f>BS1763</f>
        <v>0</v>
      </c>
      <c r="AA1777" s="748">
        <f>BT1763</f>
        <v>1</v>
      </c>
      <c r="AB1777" s="748">
        <f>BU1763</f>
        <v>0</v>
      </c>
      <c r="AC1777" s="748">
        <f>BV1763</f>
        <v>0</v>
      </c>
      <c r="AD1777" s="748">
        <f t="shared" si="310"/>
        <v>1</v>
      </c>
      <c r="AE1777" s="748" t="s">
        <v>841</v>
      </c>
    </row>
    <row r="1778" spans="3:31" ht="15" customHeight="1">
      <c r="C1778" s="748" t="s">
        <v>833</v>
      </c>
      <c r="H1778" s="748">
        <f>SUM(H1776:H1777)</f>
        <v>0</v>
      </c>
      <c r="I1778" s="748">
        <f>SUM(I1776:I1777)</f>
        <v>8</v>
      </c>
      <c r="J1778" s="748">
        <f>SUM(J1776:J1777)</f>
        <v>40</v>
      </c>
      <c r="K1778" s="748">
        <f>SUM(K1776:K1777)</f>
        <v>16</v>
      </c>
      <c r="L1778" s="748">
        <f>SUM(L1776:L1777)</f>
        <v>0</v>
      </c>
      <c r="M1778" s="748">
        <f t="shared" si="308"/>
        <v>64</v>
      </c>
      <c r="Q1778" s="748">
        <f t="shared" si="309"/>
        <v>0</v>
      </c>
      <c r="T1778" s="748" t="s">
        <v>833</v>
      </c>
      <c r="Y1778" s="748">
        <f>SUM(Y1776:Y1777)</f>
        <v>0</v>
      </c>
      <c r="Z1778" s="748">
        <f>SUM(Z1776:Z1777)</f>
        <v>8</v>
      </c>
      <c r="AA1778" s="748">
        <f>SUM(AA1776:AA1777)</f>
        <v>40</v>
      </c>
      <c r="AB1778" s="748">
        <f>SUM(AB1776:AB1777)</f>
        <v>16</v>
      </c>
      <c r="AC1778" s="748">
        <f>SUM(AC1776:AC1777)</f>
        <v>0</v>
      </c>
      <c r="AD1778" s="748">
        <f t="shared" si="310"/>
        <v>64</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8</v>
      </c>
      <c r="J1788" s="748">
        <f>DC1763</f>
        <v>39</v>
      </c>
      <c r="K1788" s="748">
        <f>DD1763</f>
        <v>16</v>
      </c>
      <c r="L1788" s="748">
        <f>DE1763</f>
        <v>0</v>
      </c>
      <c r="M1788" s="748">
        <f t="shared" ref="M1788:M1798" si="311">SUM(H1788:L1788)</f>
        <v>63</v>
      </c>
      <c r="Q1788" s="748">
        <f t="shared" ref="Q1788:Q1796" si="312">ABS(M1788-AD1788)</f>
        <v>0</v>
      </c>
      <c r="V1788" s="748" t="s">
        <v>3436</v>
      </c>
      <c r="X1788" s="748" t="s">
        <v>2155</v>
      </c>
      <c r="Y1788" s="748">
        <f>DA1763</f>
        <v>0</v>
      </c>
      <c r="Z1788" s="748">
        <f>DB1763</f>
        <v>8</v>
      </c>
      <c r="AA1788" s="748">
        <f>DC1763</f>
        <v>39</v>
      </c>
      <c r="AB1788" s="748">
        <f>DD1763</f>
        <v>16</v>
      </c>
      <c r="AC1788" s="748">
        <f>DE1763</f>
        <v>0</v>
      </c>
      <c r="AD1788" s="748">
        <f t="shared" ref="AD1788:AD1796" si="313">SUM(Y1788:AC1788)</f>
        <v>63</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8</v>
      </c>
      <c r="J1790" s="748">
        <f>SUM(J1788:J1789)+DM1763</f>
        <v>40</v>
      </c>
      <c r="K1790" s="748">
        <f>SUM(K1788:K1789)+DN1763</f>
        <v>16</v>
      </c>
      <c r="L1790" s="748">
        <f>SUM(L1788:L1789)+DO1763</f>
        <v>0</v>
      </c>
      <c r="M1790" s="748">
        <f t="shared" si="311"/>
        <v>64</v>
      </c>
      <c r="Q1790" s="748">
        <f t="shared" si="312"/>
        <v>0</v>
      </c>
      <c r="X1790" s="748" t="s">
        <v>34</v>
      </c>
      <c r="Y1790" s="748">
        <f>SUM(Y1788:Y1789)+DK1763</f>
        <v>0</v>
      </c>
      <c r="Z1790" s="748">
        <f>SUM(Z1788:Z1789)+DL1763</f>
        <v>8</v>
      </c>
      <c r="AA1790" s="748">
        <f>SUM(AA1788:AA1789)+DM1763</f>
        <v>40</v>
      </c>
      <c r="AB1790" s="748">
        <f>SUM(AB1788:AB1789)+DN1763</f>
        <v>16</v>
      </c>
      <c r="AC1790" s="748">
        <f>SUM(AC1788:AC1789)+DO1763</f>
        <v>0</v>
      </c>
      <c r="AD1790" s="748">
        <f t="shared" si="313"/>
        <v>64</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8</v>
      </c>
      <c r="J1800" s="748">
        <f>EV1763</f>
        <v>40</v>
      </c>
      <c r="K1800" s="748">
        <f>EW1763</f>
        <v>16</v>
      </c>
      <c r="L1800" s="748">
        <f>EX1763</f>
        <v>0</v>
      </c>
      <c r="M1800" s="748">
        <f>SUM(H1800:L1800)</f>
        <v>64</v>
      </c>
      <c r="Q1800" s="748">
        <f>ABS(M1800-AD1800)</f>
        <v>0</v>
      </c>
      <c r="V1800" s="748" t="s">
        <v>46</v>
      </c>
      <c r="Y1800" s="748">
        <f>ET1763</f>
        <v>0</v>
      </c>
      <c r="Z1800" s="748">
        <f>EU1763</f>
        <v>8</v>
      </c>
      <c r="AA1800" s="748">
        <f>EV1763</f>
        <v>40</v>
      </c>
      <c r="AB1800" s="748">
        <f>EW1763</f>
        <v>16</v>
      </c>
      <c r="AC1800" s="748">
        <f>EX1763</f>
        <v>0</v>
      </c>
      <c r="AD1800" s="748">
        <f>SUM(Y1800:AC1800)</f>
        <v>64</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5052</v>
      </c>
      <c r="J1807" s="748">
        <f>BY1763</f>
        <v>32736</v>
      </c>
      <c r="K1807" s="748">
        <f>BZ1763</f>
        <v>15743</v>
      </c>
      <c r="L1807" s="748">
        <f>CA1763</f>
        <v>0</v>
      </c>
      <c r="M1807" s="748">
        <f t="shared" ref="M1807:M1813" si="314">SUM(H1807:L1807)</f>
        <v>53531</v>
      </c>
      <c r="Q1807" s="748">
        <f t="shared" ref="Q1807:Q1813" si="315">ABS(M1807-AD1807)</f>
        <v>0</v>
      </c>
      <c r="T1807" s="748" t="s">
        <v>3237</v>
      </c>
      <c r="X1807" s="748" t="s">
        <v>1792</v>
      </c>
      <c r="Y1807" s="748">
        <f>BW1763</f>
        <v>0</v>
      </c>
      <c r="Z1807" s="748">
        <f>BX1763</f>
        <v>5052</v>
      </c>
      <c r="AA1807" s="748">
        <f>BY1763</f>
        <v>32736</v>
      </c>
      <c r="AB1807" s="748">
        <f>BZ1763</f>
        <v>15743</v>
      </c>
      <c r="AC1807" s="748">
        <f>CA1763</f>
        <v>0</v>
      </c>
      <c r="AD1807" s="748">
        <f t="shared" ref="AD1807:AD1813" si="316">SUM(Y1807:AC1807)</f>
        <v>53531</v>
      </c>
    </row>
    <row r="1808" spans="2:30" ht="15" customHeight="1">
      <c r="G1808" s="748" t="s">
        <v>133</v>
      </c>
      <c r="H1808" s="748">
        <f>CB1763</f>
        <v>0</v>
      </c>
      <c r="I1808" s="748">
        <f>CC1763</f>
        <v>1684</v>
      </c>
      <c r="J1808" s="748">
        <f>CD1763</f>
        <v>8448</v>
      </c>
      <c r="K1808" s="748">
        <f>CE1763</f>
        <v>3633</v>
      </c>
      <c r="L1808" s="748">
        <f>CF1763</f>
        <v>0</v>
      </c>
      <c r="M1808" s="748">
        <f t="shared" si="314"/>
        <v>13765</v>
      </c>
      <c r="Q1808" s="748">
        <f t="shared" si="315"/>
        <v>0</v>
      </c>
      <c r="X1808" s="748" t="s">
        <v>133</v>
      </c>
      <c r="Y1808" s="748">
        <f>CB1763</f>
        <v>0</v>
      </c>
      <c r="Z1808" s="748">
        <f>CC1763</f>
        <v>1684</v>
      </c>
      <c r="AA1808" s="748">
        <f>CD1763</f>
        <v>8448</v>
      </c>
      <c r="AB1808" s="748">
        <f>CE1763</f>
        <v>3633</v>
      </c>
      <c r="AC1808" s="748">
        <f>CF1763</f>
        <v>0</v>
      </c>
      <c r="AD1808" s="748">
        <f t="shared" si="316"/>
        <v>13765</v>
      </c>
    </row>
    <row r="1809" spans="1:30" ht="15" customHeight="1">
      <c r="G1809" s="748" t="s">
        <v>833</v>
      </c>
      <c r="H1809" s="748">
        <f>SUM(H1807:H1808)</f>
        <v>0</v>
      </c>
      <c r="I1809" s="748">
        <f>SUM(I1807:I1808)</f>
        <v>6736</v>
      </c>
      <c r="J1809" s="748">
        <f>SUM(J1807:J1808)</f>
        <v>41184</v>
      </c>
      <c r="K1809" s="748">
        <f>SUM(K1807:K1808)</f>
        <v>19376</v>
      </c>
      <c r="L1809" s="748">
        <f>SUM(L1807:L1808)</f>
        <v>0</v>
      </c>
      <c r="M1809" s="748">
        <f t="shared" si="314"/>
        <v>67296</v>
      </c>
      <c r="Q1809" s="748">
        <f t="shared" si="315"/>
        <v>0</v>
      </c>
      <c r="X1809" s="748" t="s">
        <v>833</v>
      </c>
      <c r="Y1809" s="748">
        <f>SUM(Y1807:Y1808)</f>
        <v>0</v>
      </c>
      <c r="Z1809" s="748">
        <f>SUM(Z1807:Z1808)</f>
        <v>6736</v>
      </c>
      <c r="AA1809" s="748">
        <f>SUM(AA1807:AA1808)</f>
        <v>41184</v>
      </c>
      <c r="AB1809" s="748">
        <f>SUM(AB1807:AB1808)</f>
        <v>19376</v>
      </c>
      <c r="AC1809" s="748">
        <f>SUM(AC1807:AC1808)</f>
        <v>0</v>
      </c>
      <c r="AD1809" s="748">
        <f t="shared" si="316"/>
        <v>67296</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6736</v>
      </c>
      <c r="J1811" s="748">
        <f>SUM(J1809:J1810)</f>
        <v>41184</v>
      </c>
      <c r="K1811" s="748">
        <f>SUM(K1809:K1810)</f>
        <v>19376</v>
      </c>
      <c r="L1811" s="748">
        <f>SUM(L1809:L1810)</f>
        <v>0</v>
      </c>
      <c r="M1811" s="748">
        <f t="shared" si="314"/>
        <v>67296</v>
      </c>
      <c r="Q1811" s="748">
        <f t="shared" si="315"/>
        <v>0</v>
      </c>
      <c r="T1811" s="748" t="s">
        <v>1780</v>
      </c>
      <c r="Y1811" s="748">
        <f>SUM(Y1809:Y1810)</f>
        <v>0</v>
      </c>
      <c r="Z1811" s="748">
        <f>SUM(Z1809:Z1810)</f>
        <v>6736</v>
      </c>
      <c r="AA1811" s="748">
        <f>SUM(AA1809:AA1810)</f>
        <v>41184</v>
      </c>
      <c r="AB1811" s="748">
        <f>SUM(AB1809:AB1810)</f>
        <v>19376</v>
      </c>
      <c r="AC1811" s="748">
        <f>SUM(AC1809:AC1810)</f>
        <v>0</v>
      </c>
      <c r="AD1811" s="748">
        <f t="shared" si="316"/>
        <v>67296</v>
      </c>
    </row>
    <row r="1812" spans="1:30" ht="15" customHeight="1">
      <c r="C1812" s="748" t="s">
        <v>3798</v>
      </c>
      <c r="H1812" s="748">
        <f>CV1763</f>
        <v>0</v>
      </c>
      <c r="I1812" s="748">
        <f>CW1763</f>
        <v>0</v>
      </c>
      <c r="J1812" s="748">
        <f>CX1763</f>
        <v>1056</v>
      </c>
      <c r="K1812" s="748">
        <f>CY1763</f>
        <v>0</v>
      </c>
      <c r="L1812" s="748">
        <f>CZ1763</f>
        <v>0</v>
      </c>
      <c r="M1812" s="748">
        <f t="shared" si="314"/>
        <v>1056</v>
      </c>
      <c r="Q1812" s="748">
        <f t="shared" si="315"/>
        <v>0</v>
      </c>
      <c r="T1812" s="748" t="s">
        <v>3798</v>
      </c>
      <c r="Y1812" s="748">
        <f>CV1763</f>
        <v>0</v>
      </c>
      <c r="Z1812" s="748">
        <f>CW1763</f>
        <v>0</v>
      </c>
      <c r="AA1812" s="748">
        <f>CX1763</f>
        <v>1056</v>
      </c>
      <c r="AB1812" s="748">
        <f>CY1763</f>
        <v>0</v>
      </c>
      <c r="AC1812" s="748">
        <f>CZ1763</f>
        <v>0</v>
      </c>
      <c r="AD1812" s="748">
        <f t="shared" si="316"/>
        <v>1056</v>
      </c>
    </row>
    <row r="1813" spans="1:30" ht="15" customHeight="1">
      <c r="C1813" s="748" t="s">
        <v>833</v>
      </c>
      <c r="H1813" s="748">
        <f>SUM(H1811:H1812)</f>
        <v>0</v>
      </c>
      <c r="I1813" s="748">
        <f>SUM(I1811:I1812)</f>
        <v>6736</v>
      </c>
      <c r="J1813" s="748">
        <f>SUM(J1811:J1812)</f>
        <v>42240</v>
      </c>
      <c r="K1813" s="748">
        <f>SUM(K1811:K1812)</f>
        <v>19376</v>
      </c>
      <c r="L1813" s="748">
        <f>SUM(L1811:L1812)</f>
        <v>0</v>
      </c>
      <c r="M1813" s="748">
        <f t="shared" si="314"/>
        <v>68352</v>
      </c>
      <c r="Q1813" s="748">
        <f t="shared" si="315"/>
        <v>0</v>
      </c>
      <c r="T1813" s="748" t="s">
        <v>833</v>
      </c>
      <c r="Y1813" s="748">
        <f>SUM(Y1811:Y1812)</f>
        <v>0</v>
      </c>
      <c r="Z1813" s="748">
        <f>SUM(Z1811:Z1812)</f>
        <v>6736</v>
      </c>
      <c r="AA1813" s="748">
        <f>SUM(AA1811:AA1812)</f>
        <v>42240</v>
      </c>
      <c r="AB1813" s="748">
        <f>SUM(AB1811:AB1812)</f>
        <v>19376</v>
      </c>
      <c r="AC1813" s="748">
        <f>SUM(AC1811:AC1812)</f>
        <v>0</v>
      </c>
      <c r="AD1813" s="748">
        <f t="shared" si="316"/>
        <v>68352</v>
      </c>
    </row>
    <row r="1814" spans="1:30" ht="4.9000000000000004" customHeight="1"/>
    <row r="1815" spans="1:30" ht="13.9" customHeight="1">
      <c r="A1815" s="748" t="s">
        <v>1232</v>
      </c>
      <c r="B1815" s="748" t="s">
        <v>4062</v>
      </c>
    </row>
    <row r="1816" spans="1:30" ht="9" customHeight="1"/>
    <row r="1817" spans="1:30" ht="12.6" customHeight="1">
      <c r="B1817" s="748" t="s">
        <v>1633</v>
      </c>
      <c r="G1817" s="748">
        <f>0.02*L1764</f>
        <v>6435.6</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4063</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4064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4063</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4064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4063</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4064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2824</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32970</v>
      </c>
      <c r="I1857" s="748" t="s">
        <v>2081</v>
      </c>
      <c r="K1857" s="748">
        <f>'Part VI-Revenues &amp; Expenses'!K142</f>
        <v>0</v>
      </c>
      <c r="N1857" s="748" t="s">
        <v>1525</v>
      </c>
      <c r="P1857" s="748">
        <f>'Part VI-Revenues &amp; Expenses'!P142</f>
        <v>39296</v>
      </c>
    </row>
    <row r="1858" spans="2:16" ht="15.6" customHeight="1">
      <c r="B1858" s="748" t="s">
        <v>2070</v>
      </c>
      <c r="F1858" s="748">
        <f>'Part VI-Revenues &amp; Expenses'!F143</f>
        <v>16530</v>
      </c>
      <c r="I1858" s="748" t="s">
        <v>2082</v>
      </c>
      <c r="K1858" s="748">
        <f>'Part VI-Revenues &amp; Expenses'!K143</f>
        <v>0</v>
      </c>
      <c r="N1858" s="748" t="s">
        <v>200</v>
      </c>
      <c r="P1858" s="748">
        <f>'Part VI-Revenues &amp; Expenses'!P143</f>
        <v>21542</v>
      </c>
    </row>
    <row r="1859" spans="2:16" ht="15.6" customHeight="1">
      <c r="B1859" s="748" t="s">
        <v>1917</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60838</v>
      </c>
    </row>
    <row r="1861" spans="2:16" ht="15.6" customHeight="1">
      <c r="C1861" s="748" t="s">
        <v>249</v>
      </c>
      <c r="F1861" s="748">
        <f>SUM(F1857:G1860)</f>
        <v>49500</v>
      </c>
    </row>
    <row r="1862" spans="2:16" ht="9" customHeight="1"/>
    <row r="1863" spans="2:16" ht="13.15" customHeight="1">
      <c r="B1863" s="748" t="s">
        <v>1992</v>
      </c>
      <c r="I1863" s="748" t="s">
        <v>1993</v>
      </c>
      <c r="N1863" s="748" t="s">
        <v>2083</v>
      </c>
      <c r="P1863" s="748">
        <f>IF(OR('Part VII-Pro Forma'!$B$20 = "Choose Mgt Fee",'Part VII-Pro Forma'!$B$20 = "Choose One!"), 0,- 'Part VII-Pro Forma'!$B$20)</f>
        <v>27472</v>
      </c>
    </row>
    <row r="1864" spans="2:16" ht="15.6" customHeight="1">
      <c r="B1864" s="748" t="s">
        <v>2075</v>
      </c>
      <c r="F1864" s="748">
        <f>'Part VI-Revenues &amp; Expenses'!F149</f>
        <v>6000</v>
      </c>
      <c r="I1864" s="748" t="s">
        <v>2365</v>
      </c>
      <c r="K1864" s="748">
        <f>'Part VI-Revenues &amp; Expenses'!K149</f>
        <v>7000</v>
      </c>
      <c r="N1864" s="748">
        <f>+P1863/(M1778*0.93)</f>
        <v>461.55913978494624</v>
      </c>
      <c r="O1864" s="748" t="s">
        <v>3863</v>
      </c>
    </row>
    <row r="1865" spans="2:16" ht="15.6" customHeight="1">
      <c r="B1865" s="748" t="s">
        <v>2076</v>
      </c>
      <c r="F1865" s="748">
        <f>'Part VI-Revenues &amp; Expenses'!F150</f>
        <v>2000</v>
      </c>
      <c r="I1865" s="748" t="s">
        <v>3141</v>
      </c>
      <c r="K1865" s="748">
        <f>'Part VI-Revenues &amp; Expenses'!K150</f>
        <v>12000</v>
      </c>
      <c r="N1865" s="748">
        <f>+P1863/(M1778*0.93)/12</f>
        <v>38.463261648745522</v>
      </c>
      <c r="O1865" s="748" t="s">
        <v>3864</v>
      </c>
    </row>
    <row r="1866" spans="2:16" ht="15.6" customHeight="1">
      <c r="B1866" s="748" t="s">
        <v>2077</v>
      </c>
      <c r="F1866" s="748">
        <f>'Part VI-Revenues &amp; Expenses'!F151</f>
        <v>0</v>
      </c>
      <c r="I1866" s="748" t="s">
        <v>2366</v>
      </c>
      <c r="K1866" s="748">
        <f>'Part VI-Revenues &amp; Expenses'!K151</f>
        <v>12000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0</v>
      </c>
      <c r="J1868" s="748" t="s">
        <v>249</v>
      </c>
      <c r="K1868" s="748">
        <f>SUM(K1864:K1867)</f>
        <v>31000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8000</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8561</v>
      </c>
      <c r="I1873" s="748" t="s">
        <v>2071</v>
      </c>
      <c r="J1873" s="748" t="e">
        <f>K1873/12/$M$63</f>
        <v>#DIV/0!</v>
      </c>
      <c r="K1873" s="748">
        <f>'Part VI-Revenues &amp; Expenses'!K158</f>
        <v>1800</v>
      </c>
      <c r="N1873" s="748" t="e">
        <f>+$P$158/$M$63</f>
        <v>#DIV/0!</v>
      </c>
      <c r="O1873" s="748" t="s">
        <v>2111</v>
      </c>
      <c r="P1873" s="748">
        <f>F1861+F1870+F1881+K1859+K1868+K1878+P1860+P1863</f>
        <v>227171</v>
      </c>
    </row>
    <row r="1874" spans="1:16" ht="15.6" customHeight="1">
      <c r="B1874" s="748" t="s">
        <v>2368</v>
      </c>
      <c r="F1874" s="748">
        <f>'Part VI-Revenues &amp; Expenses'!F159</f>
        <v>6400</v>
      </c>
      <c r="I1874" s="748" t="s">
        <v>2072</v>
      </c>
      <c r="J1874" s="748" t="e">
        <f>K1874/12/$M$63</f>
        <v>#DIV/0!</v>
      </c>
      <c r="K1874" s="748">
        <f>'Part VI-Revenues &amp; Expenses'!K159</f>
        <v>0</v>
      </c>
    </row>
    <row r="1875" spans="1:16" ht="15.6" customHeight="1">
      <c r="B1875" s="748" t="s">
        <v>2369</v>
      </c>
      <c r="F1875" s="748">
        <f>'Part VI-Revenues &amp; Expenses'!F160</f>
        <v>12800</v>
      </c>
      <c r="I1875" s="748" t="s">
        <v>3554</v>
      </c>
      <c r="J1875" s="748" t="e">
        <f>K1875/12/$M$63</f>
        <v>#DIV/0!</v>
      </c>
      <c r="K1875" s="748">
        <f>'Part VI-Revenues &amp; Expenses'!K160</f>
        <v>8000</v>
      </c>
    </row>
    <row r="1876" spans="1:16" ht="15.6" customHeight="1">
      <c r="B1876" s="748" t="s">
        <v>1617</v>
      </c>
      <c r="F1876" s="748">
        <f>'Part VI-Revenues &amp; Expenses'!F161</f>
        <v>4800</v>
      </c>
      <c r="I1876" s="748" t="s">
        <v>2074</v>
      </c>
      <c r="K1876" s="748">
        <f>'Part VI-Revenues &amp; Expenses'!K161</f>
        <v>8000</v>
      </c>
      <c r="N1876" s="748" t="s">
        <v>1923</v>
      </c>
      <c r="P1876" s="748">
        <f>P1877*M1778</f>
        <v>16000</v>
      </c>
    </row>
    <row r="1877" spans="1:16" ht="15.6" customHeight="1">
      <c r="B1877" s="748" t="s">
        <v>1618</v>
      </c>
      <c r="F1877" s="748">
        <f>'Part VI-Revenues &amp; Expenses'!F162</f>
        <v>0</v>
      </c>
      <c r="I1877" s="748" t="str">
        <f>'Part VI-Revenues &amp; Expenses'!I162</f>
        <v>Other (describe here)</v>
      </c>
      <c r="K1877" s="748">
        <f>'Part VI-Revenues &amp; Expenses'!K162</f>
        <v>0</v>
      </c>
      <c r="N1877" s="748" t="s">
        <v>680</v>
      </c>
      <c r="P1877" s="748">
        <f>'Part VI-Revenues &amp; Expenses'!P162</f>
        <v>250</v>
      </c>
    </row>
    <row r="1878" spans="1:16" ht="15.6" customHeight="1">
      <c r="B1878" s="748" t="s">
        <v>1619</v>
      </c>
      <c r="F1878" s="748">
        <f>'Part VI-Revenues &amp; Expenses'!F163</f>
        <v>0</v>
      </c>
      <c r="J1878" s="748" t="s">
        <v>249</v>
      </c>
      <c r="K1878" s="748">
        <f>SUM(K1873:K1877)</f>
        <v>17800</v>
      </c>
    </row>
    <row r="1879" spans="1:16" ht="15.6" customHeight="1">
      <c r="B1879" s="748" t="s">
        <v>1459</v>
      </c>
      <c r="F1879" s="748">
        <f>'Part VI-Revenues &amp; Expenses'!F164</f>
        <v>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32561</v>
      </c>
      <c r="P1881" s="748">
        <f>P1873+P1876</f>
        <v>243171</v>
      </c>
    </row>
    <row r="1882" spans="1:16" ht="10.9" customHeight="1"/>
    <row r="1883" spans="1:16" ht="12" customHeight="1">
      <c r="A1883" s="748" t="s">
        <v>2826</v>
      </c>
      <c r="B1883" s="748" t="s">
        <v>880</v>
      </c>
      <c r="K1883" s="748" t="s">
        <v>823</v>
      </c>
      <c r="L1883" s="748" t="s">
        <v>2898</v>
      </c>
    </row>
    <row r="1884" spans="1:16" ht="51.6" customHeight="1">
      <c r="A1884" s="748" t="str">
        <f>'Part VI-Revenues &amp; Expenses'!A169</f>
        <v>Real Estate Taxes were calculated assuming a tax value of $45,000 per unit or $2,880,000 X 40% X .03408 =$39,296</v>
      </c>
      <c r="K1884" s="748">
        <f>'Part VI-Revenues &amp; Expenses'!K169</f>
        <v>0</v>
      </c>
    </row>
    <row r="1885" spans="1:16" ht="51.6" customHeight="1">
      <c r="A1885" s="748" t="str">
        <f>'Part VI-Revenues &amp; Expenses'!A170</f>
        <v>Insurance calculation:  Assumed insured value of $6,377,616 X.0038 (insurance rate across our portfolio) = $21,542</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2011-020 Heritage Vista Apartments, ,  County</v>
      </c>
    </row>
    <row r="1891" spans="1:11">
      <c r="A1891" s="748" t="s">
        <v>100</v>
      </c>
      <c r="D1891" s="748" t="s">
        <v>90</v>
      </c>
      <c r="F1891" s="748" t="s">
        <v>4065</v>
      </c>
    </row>
    <row r="1893" spans="1:11">
      <c r="A1893" s="748" t="s">
        <v>3296</v>
      </c>
      <c r="B1893" s="748">
        <v>0.02</v>
      </c>
      <c r="D1893" s="748" t="s">
        <v>1366</v>
      </c>
      <c r="G1893" s="748">
        <f>'Part VII-Pro Forma'!G5</f>
        <v>2500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27472</v>
      </c>
    </row>
    <row r="1897" spans="1:11">
      <c r="A1897" s="748" t="s">
        <v>2130</v>
      </c>
      <c r="B1897" s="748">
        <v>0.02</v>
      </c>
      <c r="D1897" s="748" t="s">
        <v>2744</v>
      </c>
      <c r="G1897" s="748" t="str">
        <f>'Part VII-Pro Forma'!G9</f>
        <v>No</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-51724</v>
      </c>
      <c r="C1913" s="748">
        <f>'Part VII-Pro Forma'!C25</f>
        <v>-50732</v>
      </c>
      <c r="D1913" s="748">
        <f>'Part VII-Pro Forma'!D25</f>
        <v>-49660</v>
      </c>
      <c r="E1913" s="748">
        <f>'Part VII-Pro Forma'!E25</f>
        <v>-48503</v>
      </c>
      <c r="F1913" s="748">
        <f>'Part VII-Pro Forma'!F25</f>
        <v>-47259</v>
      </c>
      <c r="G1913" s="748">
        <f>'Part VII-Pro Forma'!G25</f>
        <v>-45923</v>
      </c>
      <c r="H1913" s="748">
        <f>'Part VII-Pro Forma'!H25</f>
        <v>-44943</v>
      </c>
      <c r="I1913" s="748">
        <f>'Part VII-Pro Forma'!I25</f>
        <v>-42963</v>
      </c>
      <c r="J1913" s="748">
        <f>'Part VII-Pro Forma'!J25</f>
        <v>-41330</v>
      </c>
      <c r="K1913" s="748">
        <f>'Part VII-Pro Forma'!K25</f>
        <v>-39589</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-2500</v>
      </c>
      <c r="C1918" s="748">
        <f>'Part VII-Pro Forma'!C30</f>
        <v>-2500</v>
      </c>
      <c r="D1918" s="748">
        <f>'Part VII-Pro Forma'!D30</f>
        <v>-2500</v>
      </c>
      <c r="E1918" s="748">
        <f>'Part VII-Pro Forma'!E30</f>
        <v>-2500</v>
      </c>
      <c r="F1918" s="748">
        <f>'Part VII-Pro Forma'!F30</f>
        <v>-2500</v>
      </c>
      <c r="G1918" s="748">
        <f>'Part VII-Pro Forma'!G30</f>
        <v>-2500</v>
      </c>
      <c r="H1918" s="748">
        <f>'Part VII-Pro Forma'!H30</f>
        <v>-2500</v>
      </c>
      <c r="I1918" s="748">
        <f>'Part VII-Pro Forma'!I30</f>
        <v>-2500</v>
      </c>
      <c r="J1918" s="748">
        <f>'Part VII-Pro Forma'!J30</f>
        <v>-2500</v>
      </c>
      <c r="K1918" s="748">
        <f>'Part VII-Pro Forma'!K30</f>
        <v>-2500</v>
      </c>
    </row>
    <row r="1919" spans="1:11">
      <c r="A1919" s="748" t="s">
        <v>1865</v>
      </c>
      <c r="B1919" s="748">
        <f>'Part VII-Pro Forma'!B31</f>
        <v>-6000</v>
      </c>
      <c r="C1919" s="748">
        <f>'Part VII-Pro Forma'!C31</f>
        <v>-6000</v>
      </c>
      <c r="D1919" s="748">
        <f>'Part VII-Pro Forma'!D31</f>
        <v>-5000</v>
      </c>
      <c r="E1919" s="748">
        <f>'Part VII-Pro Forma'!E31</f>
        <v>-4721</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-60224</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1624714.5669798669</v>
      </c>
      <c r="C1930" s="748">
        <f>'Part VII-Pro Forma'!C42</f>
        <v>1590071.2171997349</v>
      </c>
      <c r="D1930" s="748">
        <f>'Part VII-Pro Forma'!D42</f>
        <v>1556156.7686898164</v>
      </c>
      <c r="E1930" s="748">
        <f>'Part VII-Pro Forma'!E42</f>
        <v>1523063.9346313037</v>
      </c>
      <c r="F1930" s="748">
        <f>'Part VII-Pro Forma'!F42</f>
        <v>1490888.3687905583</v>
      </c>
      <c r="G1930" s="748">
        <f>'Part VII-Pro Forma'!G42</f>
        <v>1459731.7088483814</v>
      </c>
      <c r="H1930" s="748">
        <f>'Part VII-Pro Forma'!H42</f>
        <v>1429246.5544859939</v>
      </c>
      <c r="I1930" s="748">
        <f>'Part VII-Pro Forma'!I42</f>
        <v>1400444.2477109041</v>
      </c>
      <c r="J1930" s="748">
        <f>'Part VII-Pro Forma'!J42</f>
        <v>1372993.0995013677</v>
      </c>
      <c r="K1930" s="748">
        <f>'Part VII-Pro Forma'!K42</f>
        <v>1347015.179921068</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f>'Part VII-Pro Forma'!B46</f>
        <v>15721</v>
      </c>
      <c r="C1934" s="748">
        <f>'Part VII-Pro Forma'!C46</f>
        <v>9721</v>
      </c>
      <c r="D1934" s="748">
        <f>'Part VII-Pro Forma'!D46</f>
        <v>4721</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-37737</v>
      </c>
      <c r="C1948" s="748">
        <f>'Part VII-Pro Forma'!C60</f>
        <v>-35768</v>
      </c>
      <c r="D1948" s="748">
        <f>'Part VII-Pro Forma'!D60</f>
        <v>-33679</v>
      </c>
      <c r="E1948" s="748">
        <f>'Part VII-Pro Forma'!E60</f>
        <v>-31463</v>
      </c>
      <c r="F1948" s="748">
        <f>'Part VII-Pro Forma'!F60</f>
        <v>-29116</v>
      </c>
      <c r="G1948" s="748">
        <f>'Part VII-Pro Forma'!G60</f>
        <v>-26634</v>
      </c>
      <c r="H1948" s="748">
        <f>'Part VII-Pro Forma'!H60</f>
        <v>-24009</v>
      </c>
      <c r="I1948" s="748">
        <f>'Part VII-Pro Forma'!I60</f>
        <v>-21238</v>
      </c>
      <c r="J1948" s="748">
        <f>'Part VII-Pro Forma'!J60</f>
        <v>-18313</v>
      </c>
      <c r="K1948" s="748">
        <f>'Part VII-Pro Forma'!K60</f>
        <v>-15229</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-2500</v>
      </c>
      <c r="C1953" s="748">
        <f>'Part VII-Pro Forma'!C65</f>
        <v>-2500</v>
      </c>
      <c r="D1953" s="748">
        <f>'Part VII-Pro Forma'!D65</f>
        <v>-2500</v>
      </c>
      <c r="E1953" s="748">
        <f>'Part VII-Pro Forma'!E65</f>
        <v>-2500</v>
      </c>
      <c r="F1953" s="748">
        <f>'Part VII-Pro Forma'!F65</f>
        <v>-2500</v>
      </c>
      <c r="G1953" s="748">
        <f>'Part VII-Pro Forma'!G65</f>
        <v>0</v>
      </c>
      <c r="H1953" s="748">
        <f>'Part VII-Pro Forma'!H65</f>
        <v>0</v>
      </c>
      <c r="I1953" s="748">
        <f>'Part VII-Pro Forma'!I65</f>
        <v>0</v>
      </c>
      <c r="J1953" s="748">
        <f>'Part VII-Pro Forma'!J65</f>
        <v>0</v>
      </c>
      <c r="K1953" s="748">
        <f>'Part VII-Pro Forma'!K65</f>
        <v>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1322636.7991330402</v>
      </c>
      <c r="C1965" s="748">
        <f>'Part VII-Pro Forma'!C77</f>
        <v>1299991.5637838091</v>
      </c>
      <c r="D1965" s="748">
        <f>'Part VII-Pro Forma'!D77</f>
        <v>1279217.4365153105</v>
      </c>
      <c r="E1965" s="748">
        <f>'Part VII-Pro Forma'!E77</f>
        <v>1260460.7981094066</v>
      </c>
      <c r="F1965" s="748">
        <f>'Part VII-Pro Forma'!F77</f>
        <v>1243873.518267923</v>
      </c>
      <c r="G1965" s="748">
        <f>'Part VII-Pro Forma'!G77</f>
        <v>1229613.0107541254</v>
      </c>
      <c r="H1965" s="748">
        <f>'Part VII-Pro Forma'!H77</f>
        <v>1217846.3074724979</v>
      </c>
      <c r="I1965" s="748">
        <f>'Part VII-Pro Forma'!I77</f>
        <v>1208745.1321117696</v>
      </c>
      <c r="J1965" s="748">
        <f>'Part VII-Pro Forma'!J77</f>
        <v>1202490.9702588406</v>
      </c>
      <c r="K1965" s="748">
        <f>'Part VII-Pro Forma'!K77</f>
        <v>1199272.1536781613</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1211319.994827097</v>
      </c>
      <c r="C2000" s="748">
        <f>'Part VII-Pro Forma'!C112</f>
        <v>1223488.8681169897</v>
      </c>
      <c r="D2000" s="748">
        <f>'Part VII-Pro Forma'!D112</f>
        <v>1235779.9894319938</v>
      </c>
      <c r="E2000" s="748">
        <f>'Part VII-Pro Forma'!E112</f>
        <v>1248194.5868709881</v>
      </c>
      <c r="F2000" s="748">
        <f>'Part VII-Pro Forma'!F112</f>
        <v>1260733.9008702845</v>
      </c>
      <c r="G2000" s="748">
        <f>'Part VII-Pro Forma'!G112</f>
        <v>1273399.18432757</v>
      </c>
      <c r="H2000" s="748">
        <f>'Part VII-Pro Forma'!H112</f>
        <v>1286191.7027270924</v>
      </c>
      <c r="I2000" s="748">
        <f>'Part VII-Pro Forma'!I112</f>
        <v>1299112.7342661049</v>
      </c>
      <c r="J2000" s="748">
        <f>'Part VII-Pro Forma'!J112</f>
        <v>1312163.5699825804</v>
      </c>
      <c r="K2000" s="748">
        <f>'Part VII-Pro Forma'!K112</f>
        <v>1325345.5138842086</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0</v>
      </c>
      <c r="C2023" s="748">
        <f>'Part VII-Pro Forma'!C135</f>
        <v>0</v>
      </c>
      <c r="D2023" s="748">
        <f>'Part VII-Pro Forma'!D135</f>
        <v>0</v>
      </c>
      <c r="E2023" s="748">
        <f>'Part VII-Pro Forma'!E135</f>
        <v>0</v>
      </c>
      <c r="F2023" s="748">
        <f>'Part VII-Pro Forma'!F135</f>
        <v>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1338659.8830786897</v>
      </c>
      <c r="C2035" s="748">
        <f>'Part VII-Pro Forma'!C147</f>
        <v>1352108.0079053359</v>
      </c>
      <c r="D2035" s="748">
        <f>'Part VII-Pro Forma'!D147</f>
        <v>1365691.2320679964</v>
      </c>
      <c r="E2035" s="748">
        <f>'Part VII-Pro Forma'!E147</f>
        <v>1379410.9127693169</v>
      </c>
      <c r="F2035" s="748">
        <f>'Part VII-Pro Forma'!F147</f>
        <v>1393268.4208463475</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f>'Part VII-Pro Forma'!B151</f>
        <v>0</v>
      </c>
      <c r="C2039" s="748">
        <f>'Part VII-Pro Forma'!C151</f>
        <v>0</v>
      </c>
      <c r="D2039" s="748">
        <f>'Part VII-Pro Forma'!D151</f>
        <v>0</v>
      </c>
      <c r="E2039" s="748">
        <f>'Part VII-Pro Forma'!E151</f>
        <v>0</v>
      </c>
      <c r="F2039" s="748">
        <f>'Part VII-Pro Forma'!F151</f>
        <v>0</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2011-020 Heritage Vista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2890</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682</v>
      </c>
      <c r="O2099" s="748" t="s">
        <v>2923</v>
      </c>
      <c r="P2099" s="748">
        <f>'Part VIII-Threshold Criteria'!P51</f>
        <v>0</v>
      </c>
    </row>
    <row r="2101" spans="1:17">
      <c r="B2101" s="748" t="s">
        <v>3060</v>
      </c>
      <c r="C2101" s="748" t="s">
        <v>4066</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2846</v>
      </c>
      <c r="O2104" s="748" t="s">
        <v>2766</v>
      </c>
      <c r="P2104" s="748">
        <f>'Part VIII-Threshold Criteria'!P56</f>
        <v>0</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f>'Part VIII-Threshold Criteria'!A59</f>
        <v>0</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Koontz &amp; Salanger</v>
      </c>
      <c r="Q2115" s="748">
        <f>'Part VIII-Threshold Criteria'!Q67</f>
        <v>0</v>
      </c>
    </row>
    <row r="2116" spans="1:17">
      <c r="B2116" s="748" t="s">
        <v>3063</v>
      </c>
      <c r="C2116" s="748" t="s">
        <v>3118</v>
      </c>
      <c r="L2116" s="748" t="s">
        <v>3063</v>
      </c>
      <c r="M2116" s="748" t="str">
        <f>'Part VIII-Threshold Criteria'!M68</f>
        <v>6 to 9 months</v>
      </c>
      <c r="Q2116" s="748">
        <f>'Part VIII-Threshold Criteria'!Q68</f>
        <v>0</v>
      </c>
    </row>
    <row r="2117" spans="1:17">
      <c r="B2117" s="748" t="s">
        <v>1239</v>
      </c>
      <c r="C2117" s="748" t="s">
        <v>3731</v>
      </c>
      <c r="L2117" s="748" t="s">
        <v>1239</v>
      </c>
      <c r="M2117" s="748" t="str">
        <f>'Part VIII-Threshold Criteria'!M69</f>
        <v>3 months</v>
      </c>
      <c r="Q2117" s="748">
        <f>'Part VIII-Threshold Criteria'!Q69</f>
        <v>0</v>
      </c>
    </row>
    <row r="2118" spans="1:17">
      <c r="B2118" s="748" t="s">
        <v>3212</v>
      </c>
      <c r="C2118" s="748" t="s">
        <v>3732</v>
      </c>
      <c r="L2118" s="748" t="s">
        <v>3212</v>
      </c>
      <c r="M2118" s="748">
        <f>'Part VIII-Threshold Criteria'!M70</f>
        <v>6.0999999999999999E-2</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t="str">
        <f>'Part VIII-Threshold Criteria'!D73</f>
        <v>2008-049</v>
      </c>
      <c r="E2121" s="748" t="str">
        <f>'Part VIII-Threshold Criteria'!E73</f>
        <v>Baldwin Park Senior</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Heritage Vista Apartments is located in Baldwin County which has not had a tax credit award in the past 4 cycles.  Baldwin Park Senior is located in the City of Milledgeville and has a strong occupancy.</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No</v>
      </c>
      <c r="Q2133" s="748">
        <f>'Part VIII-Threshold Criteria'!Q85</f>
        <v>0</v>
      </c>
    </row>
    <row r="2134" spans="1:17">
      <c r="B2134" s="748" t="s">
        <v>3063</v>
      </c>
      <c r="C2134" s="748" t="s">
        <v>2006</v>
      </c>
      <c r="O2134" s="748" t="s">
        <v>3063</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3212</v>
      </c>
      <c r="C2140" s="748" t="s">
        <v>2149</v>
      </c>
    </row>
    <row r="2141" spans="1:17">
      <c r="C2141" s="748" t="s">
        <v>2765</v>
      </c>
      <c r="D2141" s="748" t="s">
        <v>2150</v>
      </c>
      <c r="O2141" s="748" t="s">
        <v>2765</v>
      </c>
      <c r="P2141" s="748">
        <f>'Part VIII-Threshold Criteria'!P93</f>
        <v>0</v>
      </c>
      <c r="Q2141" s="748">
        <f>'Part VIII-Threshold Criteria'!Q93</f>
        <v>0</v>
      </c>
    </row>
    <row r="2142" spans="1:17">
      <c r="C2142" s="748" t="s">
        <v>2766</v>
      </c>
      <c r="D2142" s="748" t="s">
        <v>2151</v>
      </c>
      <c r="O2142" s="748" t="s">
        <v>2766</v>
      </c>
      <c r="P2142" s="748">
        <f>'Part VIII-Threshold Criteria'!P94</f>
        <v>0</v>
      </c>
      <c r="Q2142" s="748">
        <f>'Part VIII-Threshold Criteria'!Q94</f>
        <v>0</v>
      </c>
    </row>
    <row r="2143" spans="1:17">
      <c r="C2143" s="748" t="s">
        <v>2767</v>
      </c>
      <c r="D2143" s="748" t="s">
        <v>2152</v>
      </c>
      <c r="O2143" s="748" t="s">
        <v>2767</v>
      </c>
      <c r="P2143" s="748">
        <f>'Part VIII-Threshold Criteria'!P95</f>
        <v>0</v>
      </c>
      <c r="Q2143" s="748">
        <f>'Part VIII-Threshold Criteria'!Q95</f>
        <v>0</v>
      </c>
    </row>
    <row r="2144" spans="1:17">
      <c r="B2144" s="748" t="s">
        <v>2921</v>
      </c>
    </row>
    <row r="2145" spans="1:17">
      <c r="A2145" s="748">
        <f>'Part VIII-Threshold Criteria'!A97</f>
        <v>0</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Geotechnical and Environmental Consultants</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2843</v>
      </c>
      <c r="P2156" s="748">
        <f>'Part VIII-Threshold Criteria'!P108</f>
        <v>61</v>
      </c>
      <c r="Q2156" s="748">
        <f>'Part VIII-Threshold Criteria'!Q108</f>
        <v>0</v>
      </c>
    </row>
    <row r="2157" spans="1:17">
      <c r="C2157" s="748" t="s">
        <v>2090</v>
      </c>
    </row>
    <row r="2158" spans="1:17">
      <c r="C2158" s="748" t="str">
        <f>'Part VIII-Threshold Criteria'!C110</f>
        <v>Noise levels were within acceptable range</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Yes</v>
      </c>
      <c r="Q2165" s="748">
        <f>'Part VIII-Threshold Criteria'!Q117</f>
        <v>0</v>
      </c>
    </row>
    <row r="2166" spans="2:17">
      <c r="D2166" s="748" t="s">
        <v>1408</v>
      </c>
      <c r="P2166" s="748">
        <f>'Part VIII-Threshold Criteria'!P118</f>
        <v>0.03</v>
      </c>
      <c r="Q2166" s="748">
        <f>'Part VIII-Threshold Criteria'!Q118</f>
        <v>0</v>
      </c>
    </row>
    <row r="2167" spans="2:17">
      <c r="D2167" s="748" t="s">
        <v>3245</v>
      </c>
      <c r="P2167" s="748" t="str">
        <f>'Part VIII-Threshold Criteria'!P119</f>
        <v>No</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727</v>
      </c>
      <c r="O2169" s="748" t="s">
        <v>3571</v>
      </c>
      <c r="P2169" s="748" t="str">
        <f>'Part VIII-Threshold Criteria'!P121</f>
        <v>No</v>
      </c>
      <c r="Q2169" s="748">
        <f>'Part VIII-Threshold Criteria'!Q121</f>
        <v>0</v>
      </c>
    </row>
    <row r="2170" spans="2:17">
      <c r="B2170" s="748" t="s">
        <v>2763</v>
      </c>
      <c r="C2170" s="748" t="s">
        <v>3658</v>
      </c>
      <c r="O2170" s="748" t="s">
        <v>2763</v>
      </c>
      <c r="P2170" s="748" t="str">
        <f>'Part VIII-Threshold Criteria'!P122</f>
        <v>No</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2764</v>
      </c>
      <c r="C2174" s="748" t="s">
        <v>1984</v>
      </c>
      <c r="O2174" s="748" t="s">
        <v>2764</v>
      </c>
      <c r="P2174" s="748" t="str">
        <f>'Part VIII-Threshold Criteria'!P126</f>
        <v>Yes</v>
      </c>
      <c r="Q2174" s="748">
        <f>'Part VIII-Threshold Criteria'!Q126</f>
        <v>0</v>
      </c>
    </row>
    <row r="2175" spans="2:17">
      <c r="C2175" s="748" t="s">
        <v>2765</v>
      </c>
      <c r="D2175" s="748" t="s">
        <v>1080</v>
      </c>
      <c r="O2175" s="748" t="s">
        <v>2765</v>
      </c>
      <c r="P2175" s="748" t="str">
        <f>'Part VIII-Threshold Criteria'!P127</f>
        <v>Yes</v>
      </c>
      <c r="Q2175" s="748">
        <f>'Part VIII-Threshold Criteria'!Q127</f>
        <v>0</v>
      </c>
    </row>
    <row r="2176" spans="2:17">
      <c r="C2176" s="748" t="s">
        <v>2766</v>
      </c>
      <c r="D2176" s="748" t="s">
        <v>726</v>
      </c>
      <c r="O2176" s="748" t="s">
        <v>2766</v>
      </c>
      <c r="P2176" s="748" t="str">
        <f>'Part VIII-Threshold Criteria'!P128</f>
        <v>Yes</v>
      </c>
      <c r="Q2176" s="748">
        <f>'Part VIII-Threshold Criteria'!Q128</f>
        <v>0</v>
      </c>
    </row>
    <row r="2177" spans="1:17">
      <c r="C2177" s="748" t="s">
        <v>2767</v>
      </c>
      <c r="D2177" s="748" t="s">
        <v>1032</v>
      </c>
      <c r="O2177" s="748" t="s">
        <v>2767</v>
      </c>
      <c r="P2177" s="748" t="str">
        <f>'Part VIII-Threshold Criteria'!P129</f>
        <v>Yes</v>
      </c>
      <c r="Q2177" s="748">
        <f>'Part VIII-Threshold Criteria'!Q129</f>
        <v>0</v>
      </c>
    </row>
    <row r="2178" spans="1:17">
      <c r="B2178" s="748" t="s">
        <v>3020</v>
      </c>
      <c r="C2178" s="748" t="s">
        <v>2782</v>
      </c>
      <c r="O2178" s="748" t="s">
        <v>3020</v>
      </c>
      <c r="P2178" s="748" t="str">
        <f>'Part VIII-Threshold Criteria'!P130</f>
        <v>N/A</v>
      </c>
      <c r="Q2178" s="748">
        <f>'Part VIII-Threshold Criteria'!Q130</f>
        <v>0</v>
      </c>
    </row>
    <row r="2180" spans="1:17">
      <c r="B2180" s="748" t="s">
        <v>2921</v>
      </c>
    </row>
    <row r="2181" spans="1:17">
      <c r="A2181" s="748" t="str">
        <f>'Part VIII-Threshold Criteria'!A133</f>
        <v>The Site Plan located in TAB 18 shows all development located in excess of 100' from wetland areas.</v>
      </c>
    </row>
    <row r="2182" spans="1:17">
      <c r="A2182" s="748">
        <f>'Part VIII-Threshold Criteria'!A134</f>
        <v>0</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Heritage Vista Apartments, LP</v>
      </c>
      <c r="P2192" s="748" t="str">
        <f>'Part VIII-Threshold Criteria'!P144</f>
        <v>Yes</v>
      </c>
      <c r="Q2192" s="748">
        <f>'Part VIII-Threshold Criteria'!Q144</f>
        <v>0</v>
      </c>
    </row>
    <row r="2193" spans="1:17">
      <c r="B2193" s="748" t="s">
        <v>2921</v>
      </c>
    </row>
    <row r="2194" spans="1:17">
      <c r="A2194" s="748" t="str">
        <f>'Part VIII-Threshold Criteria'!A146</f>
        <v>The Purchase and Sale agreements have been assigned to Heritage Vista Apartments, LP. The purchase and sale agreements are located in TAB 12.</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See the survey located in TAB 13 for access to Heritage Place.</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t="str">
        <f>'Part VIII-Threshold Criteria'!A169</f>
        <v>Baldwin County does not have zoning. Verification that the proposed development meets the land use code is located in TAB 14</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N/A</v>
      </c>
      <c r="O2224" s="748" t="s">
        <v>2765</v>
      </c>
      <c r="P2224" s="748">
        <f>'Part VIII-Threshold Criteria'!P176</f>
        <v>0</v>
      </c>
      <c r="Q2224" s="748">
        <f>'Part VIII-Threshold Criteria'!Q176</f>
        <v>0</v>
      </c>
    </row>
    <row r="2225" spans="1:17">
      <c r="H2225" s="748" t="s">
        <v>2766</v>
      </c>
      <c r="I2225" s="748" t="s">
        <v>2358</v>
      </c>
      <c r="J2225" s="748" t="str">
        <f>'Part VIII-Threshold Criteria'!J177</f>
        <v>Georgia Power</v>
      </c>
      <c r="O2225" s="748" t="s">
        <v>2766</v>
      </c>
      <c r="P2225" s="748" t="str">
        <f>'Part VIII-Threshold Criteria'!P177</f>
        <v>Yes</v>
      </c>
      <c r="Q2225" s="748">
        <f>'Part VIII-Threshold Criteria'!Q177</f>
        <v>0</v>
      </c>
    </row>
    <row r="2226" spans="1:17">
      <c r="B2226" s="748" t="s">
        <v>2921</v>
      </c>
    </row>
    <row r="2227" spans="1:17">
      <c r="A2227" s="748" t="str">
        <f>'Part VIII-Threshold Criteria'!A179</f>
        <v>The electricity availability letter is located in TAB 15</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Milledgeville</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Milledgeville</v>
      </c>
      <c r="O2236" s="748" t="s">
        <v>2766</v>
      </c>
      <c r="P2236" s="748" t="str">
        <f>'Part VIII-Threshold Criteria'!P188</f>
        <v>Yes</v>
      </c>
      <c r="Q2236" s="748">
        <f>'Part VIII-Threshold Criteria'!Q188</f>
        <v>0</v>
      </c>
    </row>
    <row r="2237" spans="1:17">
      <c r="B2237" s="748" t="s">
        <v>2921</v>
      </c>
    </row>
    <row r="2238" spans="1:17">
      <c r="A2238" s="748" t="str">
        <f>'Part VIII-Threshold Criteria'!A190</f>
        <v>The City of Milledgeville provides water and sewer service to the site. The availability letter is located in TAB 15</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t="str">
        <f>'Part VIII-Threshold Criteria'!A201</f>
        <v>A Resolution of Support and letter of support from the Baldwin County Commission is located in TAB 16 along with minutes from the public meeting</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Gazebo</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4067</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Equipped Playground</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Equipped Computer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t="str">
        <f>'Part VIII-Threshold Criteria'!P227</f>
        <v>No</v>
      </c>
      <c r="Q2275" s="748">
        <f>'Part VIII-Threshold Criteria'!Q227</f>
        <v>0</v>
      </c>
    </row>
    <row r="2277" spans="1:17">
      <c r="B2277" s="748" t="s">
        <v>3212</v>
      </c>
      <c r="C2277" s="748" t="s">
        <v>2345</v>
      </c>
      <c r="O2277" s="748" t="s">
        <v>3212</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f>'Part VIII-Threshold Criteria'!P232</f>
        <v>0</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f>'Part VIII-Threshold Criteria'!A235</f>
        <v>0</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4068</v>
      </c>
      <c r="O2295" s="748" t="s">
        <v>2763</v>
      </c>
      <c r="P2295" s="748">
        <f>'Part VIII-Threshold Criteria'!P247</f>
        <v>0</v>
      </c>
      <c r="Q2295" s="748">
        <f>'Part VIII-Threshold Criteria'!Q247</f>
        <v>0</v>
      </c>
    </row>
    <row r="2296" spans="1:17">
      <c r="B2296" s="748" t="s">
        <v>2921</v>
      </c>
    </row>
    <row r="2297" spans="1:17">
      <c r="A2297" s="748">
        <f>'Part VIII-Threshold Criteria'!A249</f>
        <v>0</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2820</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t="str">
        <f>'Part VIII-Threshold Criteria'!A260</f>
        <v>See TAB 18 for the conceptual site plan.</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f>'Part VIII-Threshold Criteria'!A272</f>
        <v>0</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2888</v>
      </c>
      <c r="O2329" s="748" t="s">
        <v>1239</v>
      </c>
      <c r="P2329" s="748" t="str">
        <f>'Part VIII-Threshold Criteria'!P281</f>
        <v>Yes</v>
      </c>
      <c r="Q2329" s="748">
        <f>'Part VIII-Threshold Criteria'!Q281</f>
        <v>0</v>
      </c>
    </row>
    <row r="2330" spans="1:17">
      <c r="B2330" s="748" t="s">
        <v>3212</v>
      </c>
      <c r="C2330" s="748" t="s">
        <v>2889</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f>'Part VIII-Threshold Criteria'!P294</f>
        <v>0</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Exterior wall faces will have an excess of 40% brick or stone on each total wall surface</v>
      </c>
      <c r="O2345" s="748" t="s">
        <v>2765</v>
      </c>
      <c r="P2345" s="748" t="str">
        <f>'Part VIII-Threshold Criteria'!P297</f>
        <v>Yes</v>
      </c>
      <c r="Q2345" s="748">
        <f>'Part VIII-Threshold Criteria'!Q297</f>
        <v>0</v>
      </c>
    </row>
    <row r="2346" spans="1:17" ht="13.15" customHeight="1">
      <c r="C2346" s="748" t="s">
        <v>2766</v>
      </c>
      <c r="D2346" s="748" t="s">
        <v>4069</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3571</v>
      </c>
      <c r="D2349" s="748" t="s">
        <v>4070</v>
      </c>
      <c r="G2349" s="748" t="str">
        <f>'Part VIII-Threshold Criteria'!G301</f>
        <v>Substantial replanting of trees and integrated vegetation</v>
      </c>
      <c r="O2349" s="748" t="s">
        <v>3571</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2921</v>
      </c>
    </row>
    <row r="2353" spans="1:17">
      <c r="A2353" s="748">
        <f>'Part VIII-Threshold Criteria'!A305</f>
        <v>0</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Yes</v>
      </c>
      <c r="Q2362" s="748">
        <f>'Part VIII-Threshold Criteria'!Q314</f>
        <v>0</v>
      </c>
    </row>
    <row r="2363" spans="1:17">
      <c r="B2363" s="748" t="s">
        <v>925</v>
      </c>
      <c r="L2363" s="748" t="str">
        <f>'Part VIII-Threshold Criteria'!L315</f>
        <v>Qualified without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DASH Development Corporation has been added as an owner participant.</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Yes</v>
      </c>
      <c r="Q2380" s="748">
        <f>'Part VIII-Threshold Criteria'!Q332</f>
        <v>0</v>
      </c>
    </row>
    <row r="2381" spans="1:17">
      <c r="B2381" s="748" t="s">
        <v>2921</v>
      </c>
    </row>
    <row r="2382" spans="1:17">
      <c r="A2382" s="748" t="str">
        <f>'Part VIII-Threshold Criteria'!A334</f>
        <v>The required documents were submitted in the pre-application stage. DCA Uniform Release Forms will be provided upon request.</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f>'Part VIII-Threshold Criteria'!K342</f>
        <v>0</v>
      </c>
      <c r="P2390" s="748" t="str">
        <f>'Part VIII-Threshold Criteria'!P342</f>
        <v>No</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1239</v>
      </c>
      <c r="C2392" s="748" t="s">
        <v>1555</v>
      </c>
      <c r="O2392" s="748" t="s">
        <v>1239</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f>'Part VIII-Threshold Criteria'!P347</f>
        <v>0</v>
      </c>
      <c r="Q2395" s="748">
        <f>'Part VIII-Threshold Criteria'!Q347</f>
        <v>0</v>
      </c>
    </row>
    <row r="2396" spans="1:17">
      <c r="B2396" s="748" t="s">
        <v>2921</v>
      </c>
    </row>
    <row r="2397" spans="1:17">
      <c r="A2397" s="748" t="str">
        <f>'Part VIII-Threshold Criteria'!A349</f>
        <v>Heritage Vista is not applying for the nonprofit set-aside</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f>'Part VIII-Threshold Criteria'!K354</f>
        <v>0</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f>'Part VIII-Threshold Criteria'!A362</f>
        <v>0</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4071</v>
      </c>
      <c r="M2415" s="748" t="s">
        <v>3060</v>
      </c>
      <c r="N2415" s="748" t="str">
        <f>'Part VIII-Threshold Criteria'!N367</f>
        <v>Racially mixed</v>
      </c>
      <c r="P2415" s="748" t="str">
        <f>'Part VIII-Threshold Criteria'!P367</f>
        <v>&lt;&lt;Select&gt;&gt;</v>
      </c>
    </row>
    <row r="2416" spans="1:17">
      <c r="B2416" s="748" t="s">
        <v>3063</v>
      </c>
      <c r="C2416" s="748" t="s">
        <v>2</v>
      </c>
      <c r="G2416" s="748" t="s">
        <v>3063</v>
      </c>
      <c r="H2416" s="748" t="str">
        <f>'Part VIII-Threshold Criteria'!H368</f>
        <v>9702, 9704,9705, 9603</v>
      </c>
      <c r="P2416" s="748" t="str">
        <f>'Part VIII-Threshold Criteria'!P368</f>
        <v>Yes</v>
      </c>
      <c r="Q2416" s="748">
        <f>'Part VIII-Threshold Criteria'!Q368</f>
        <v>0</v>
      </c>
    </row>
    <row r="2417" spans="1:17">
      <c r="B2417" s="748" t="s">
        <v>1239</v>
      </c>
      <c r="C2417" s="748" t="s">
        <v>2126</v>
      </c>
      <c r="O2417" s="748" t="s">
        <v>1239</v>
      </c>
      <c r="P2417" s="748" t="str">
        <f>'Part VIII-Threshold Criteria'!P369</f>
        <v>Yes</v>
      </c>
      <c r="Q2417" s="748">
        <f>'Part VIII-Threshold Criteria'!Q369</f>
        <v>0</v>
      </c>
    </row>
    <row r="2418" spans="1:17">
      <c r="B2418" s="748" t="s">
        <v>2921</v>
      </c>
    </row>
    <row r="2419" spans="1:17">
      <c r="A2419" s="748" t="str">
        <f>'Part VIII-Threshold Criteria'!A371</f>
        <v>See TAB 20 for Site and Neighborhood Standards documentation.</v>
      </c>
    </row>
    <row r="2420" spans="1:17">
      <c r="A2420" s="748" t="str">
        <f>'Part VIII-Threshold Criteria'!A372</f>
        <v>See TAB 12 for the HOME Contract Addendums</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t="str">
        <f>'Part VIII-Threshold Criteria'!P379</f>
        <v>No</v>
      </c>
      <c r="Q2427" s="748">
        <f>'Part VIII-Threshold Criteria'!Q379</f>
        <v>0</v>
      </c>
    </row>
    <row r="2428" spans="1:17">
      <c r="B2428" s="748" t="s">
        <v>3063</v>
      </c>
      <c r="C2428" s="748" t="s">
        <v>1242</v>
      </c>
      <c r="O2428" s="748" t="s">
        <v>3063</v>
      </c>
      <c r="P2428" s="748" t="str">
        <f>'Part VIII-Threshold Criteria'!P380</f>
        <v>No</v>
      </c>
      <c r="Q2428" s="748">
        <f>'Part VIII-Threshold Criteria'!Q380</f>
        <v>0</v>
      </c>
    </row>
    <row r="2429" spans="1:17">
      <c r="B2429" s="748" t="s">
        <v>1239</v>
      </c>
      <c r="C2429" s="748" t="s">
        <v>1243</v>
      </c>
      <c r="O2429" s="748" t="s">
        <v>1239</v>
      </c>
      <c r="P2429" s="748" t="str">
        <f>'Part VIII-Threshold Criteria'!P381</f>
        <v>No</v>
      </c>
      <c r="Q2429" s="748">
        <f>'Part VIII-Threshold Criteria'!Q381</f>
        <v>0</v>
      </c>
    </row>
    <row r="2430" spans="1:17">
      <c r="B2430" s="748" t="s">
        <v>3212</v>
      </c>
      <c r="C2430" s="748" t="s">
        <v>878</v>
      </c>
      <c r="O2430" s="748" t="s">
        <v>3212</v>
      </c>
      <c r="P2430" s="748" t="str">
        <f>'Part VIII-Threshold Criteria'!P382</f>
        <v>No</v>
      </c>
      <c r="Q2430" s="748">
        <f>'Part VIII-Threshold Criteria'!Q382</f>
        <v>0</v>
      </c>
    </row>
    <row r="2431" spans="1:17">
      <c r="B2431" s="748" t="s">
        <v>2763</v>
      </c>
      <c r="C2431" s="748" t="s">
        <v>3175</v>
      </c>
      <c r="G2431" s="748" t="s">
        <v>2763</v>
      </c>
      <c r="H2431" s="748">
        <f>'Part VIII-Threshold Criteria'!H383</f>
        <v>0</v>
      </c>
      <c r="P2431" s="748">
        <f>'Part VIII-Threshold Criteria'!P383</f>
        <v>0</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4072</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t="str">
        <f>'Part VIII-Threshold Criteria'!A393</f>
        <v>All projects are listed on Georgia Housing Search</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t="str">
        <f>'Part VIII-Threshold Criteria'!P396</f>
        <v>No</v>
      </c>
      <c r="Q2444" s="748">
        <f>'Part VIII-Threshold Criteria'!Q396</f>
        <v>0</v>
      </c>
    </row>
    <row r="2445" spans="1:17">
      <c r="B2445" s="748" t="s">
        <v>3063</v>
      </c>
      <c r="C2445" s="748" t="s">
        <v>3314</v>
      </c>
      <c r="O2445" s="748" t="s">
        <v>2171</v>
      </c>
      <c r="P2445" s="748" t="str">
        <f>'Part VIII-Threshold Criteria'!P397</f>
        <v>No</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The project is new construction on vacant land. No relocation applies</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t="str">
        <f>'Part VIII-Threshold Criteria'!P421</f>
        <v>Agree</v>
      </c>
      <c r="Q2469" s="748">
        <f>'Part VIII-Threshold Criteria'!Q421</f>
        <v>0</v>
      </c>
    </row>
    <row r="2470" spans="1:17">
      <c r="B2470" s="748" t="s">
        <v>3063</v>
      </c>
      <c r="C2470" s="748" t="s">
        <v>889</v>
      </c>
      <c r="O2470" s="748" t="s">
        <v>3063</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2921</v>
      </c>
    </row>
    <row r="2473" spans="1:17">
      <c r="A2473" s="748" t="str">
        <f>'Part VIII-Threshold Criteria'!A425</f>
        <v>Market plans will be submitted prior to issuance of 8609's</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f>'Part VIII-Threshold Criteria'!A435</f>
        <v>0</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2011-020 Heritage Vista Apartments,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60</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4073</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f>'Part IX A-Scoring Criteria'!A14</f>
        <v>0</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13</v>
      </c>
      <c r="L2524" s="748" t="s">
        <v>1940</v>
      </c>
      <c r="M2524" s="748">
        <f>IF(OR('Part VI-Revenues &amp; Expenses'!$M$61="", 'Part VI-Revenues &amp; Expenses'!$M$61=0),"",J2524/'Part VI-Revenues &amp; Expenses'!$M$61)</f>
        <v>0.20634920634920634</v>
      </c>
    </row>
    <row r="2525" spans="1:18">
      <c r="B2525" s="748" t="s">
        <v>333</v>
      </c>
    </row>
    <row r="2526" spans="1:18">
      <c r="A2526" s="748" t="str">
        <f>'Part IX A-Scoring Criteria'!A34</f>
        <v>The project exceeds 15% of the units at the 50% rent level.</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See TAB 24 for desirable activites maps and photos</v>
      </c>
      <c r="Q2538" s="748" t="s">
        <v>1933</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0</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0</v>
      </c>
      <c r="P2549" s="748">
        <f>'Part IX A-Scoring Criteria'!P57</f>
        <v>0</v>
      </c>
    </row>
    <row r="2550" spans="1:17">
      <c r="B2550" s="748" t="s">
        <v>333</v>
      </c>
    </row>
    <row r="2551" spans="1:17">
      <c r="A2551" s="748">
        <f>'Part IX A-Scoring Criteria'!A59</f>
        <v>0</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House</v>
      </c>
      <c r="M2574" s="748">
        <v>3</v>
      </c>
      <c r="O2574" s="748">
        <f>'Part IX A-Scoring Criteria'!O82</f>
        <v>2</v>
      </c>
      <c r="P2574" s="748">
        <f>'Part IX A-Scoring Criteria'!P82</f>
        <v>0</v>
      </c>
      <c r="Q2574" s="748" t="s">
        <v>652</v>
      </c>
      <c r="R2574" s="748" t="str">
        <f>IF(OR($O2574=$M2574,$O2574=0,$O2574=""),"","* * Check Score! * *")</f>
        <v>* * Check Score! *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The project will meet Earthcraft Multifamily certification. See TAB 29 for the checksheet with over 200 points selected.</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Stable Communities &lt; 10%</v>
      </c>
      <c r="M2585" s="748">
        <v>6</v>
      </c>
      <c r="O2585" s="748">
        <f>'Part IX A-Scoring Criteria'!O93</f>
        <v>4</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X</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t="str">
        <f>'Part IX A-Scoring Criteria'!O97</f>
        <v>Yes</v>
      </c>
      <c r="P2589" s="748">
        <f>'Part IX A-Scoring Criteria'!P97</f>
        <v>0</v>
      </c>
    </row>
    <row r="2590" spans="1:17">
      <c r="B2590" s="748" t="s">
        <v>3683</v>
      </c>
      <c r="C2590" s="748" t="s">
        <v>3624</v>
      </c>
      <c r="G2590" s="748" t="s">
        <v>3625</v>
      </c>
      <c r="M2590" s="748" t="str">
        <f>IF(AND($I$89="Stable Communities &lt; 10%",O2590=""), "X","")</f>
        <v/>
      </c>
      <c r="N2590" s="748" t="s">
        <v>3683</v>
      </c>
      <c r="O2590" s="748" t="str">
        <f>'Part IX A-Scoring Criteria'!O98</f>
        <v>Yes</v>
      </c>
      <c r="P2590" s="748">
        <f>'Part IX A-Scoring Criteria'!P98</f>
        <v>0</v>
      </c>
    </row>
    <row r="2591" spans="1:17">
      <c r="B2591" s="748" t="s">
        <v>3686</v>
      </c>
      <c r="C2591" s="748" t="s">
        <v>2191</v>
      </c>
      <c r="M2591" s="748" t="str">
        <f>IF(AND($I$89="Stable Communities &lt; 10%",O2591=""), "X","")</f>
        <v/>
      </c>
      <c r="N2591" s="748" t="s">
        <v>3686</v>
      </c>
      <c r="O2591" s="748" t="str">
        <f>'Part IX A-Scoring Criteria'!O99</f>
        <v>Yes</v>
      </c>
      <c r="P2591" s="748">
        <f>'Part IX A-Scoring Criteria'!P99</f>
        <v>0</v>
      </c>
    </row>
    <row r="2592" spans="1:17">
      <c r="A2592" s="748" t="str">
        <f>'Part IX A-Scoring Criteria'!A100</f>
        <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t="str">
        <f>'Part IX A-Scoring Criteria'!O101</f>
        <v>N/a</v>
      </c>
      <c r="P2593" s="748">
        <f>'Part IX A-Scoring Criteria'!P101</f>
        <v>0</v>
      </c>
    </row>
    <row r="2594" spans="1:16">
      <c r="B2594" s="748" t="s">
        <v>3683</v>
      </c>
      <c r="C2594" s="748" t="s">
        <v>3624</v>
      </c>
      <c r="G2594" s="748" t="s">
        <v>3625</v>
      </c>
      <c r="M2594" s="748" t="str">
        <f>IF(AND($I$89="Stable Communities &lt; 20%",O2594=""), "X","")</f>
        <v/>
      </c>
      <c r="N2594" s="748" t="s">
        <v>3683</v>
      </c>
      <c r="O2594" s="748" t="str">
        <f>'Part IX A-Scoring Criteria'!O102</f>
        <v>N/a</v>
      </c>
      <c r="P2594" s="748">
        <f>'Part IX A-Scoring Criteria'!P102</f>
        <v>0</v>
      </c>
    </row>
    <row r="2595" spans="1:16">
      <c r="B2595" s="748" t="s">
        <v>3686</v>
      </c>
      <c r="C2595" s="748" t="s">
        <v>2191</v>
      </c>
      <c r="M2595" s="748" t="str">
        <f>IF(AND($I$89="Stable Communities &lt; 20%",O2595=""), "X","")</f>
        <v/>
      </c>
      <c r="N2595" s="748" t="s">
        <v>3686</v>
      </c>
      <c r="O2595" s="748" t="str">
        <f>'Part IX A-Scoring Criteria'!O103</f>
        <v>N/a</v>
      </c>
      <c r="P2595" s="748">
        <f>'Part IX A-Scoring Criteria'!P103</f>
        <v>0</v>
      </c>
    </row>
    <row r="2596" spans="1:16">
      <c r="A2596" s="748" t="s">
        <v>3063</v>
      </c>
      <c r="B2596" s="748" t="s">
        <v>346</v>
      </c>
      <c r="M2596" s="748">
        <v>6</v>
      </c>
    </row>
    <row r="2597" spans="1:16">
      <c r="A2597" s="748" t="str">
        <f>'Part IX A-Scoring Criteria'!A105</f>
        <v/>
      </c>
      <c r="B2597" s="748" t="s">
        <v>3064</v>
      </c>
      <c r="C2597" s="748" t="s">
        <v>4074</v>
      </c>
      <c r="O2597" s="748" t="s">
        <v>3795</v>
      </c>
      <c r="P2597" s="748" t="s">
        <v>3795</v>
      </c>
    </row>
    <row r="2598" spans="1:16">
      <c r="B2598" s="748" t="s">
        <v>3682</v>
      </c>
      <c r="C2598" s="748" t="s">
        <v>914</v>
      </c>
      <c r="M2598" s="748" t="str">
        <f>IF(AND($I$89="HOPE VI Initiative",O2598=""), "X","")</f>
        <v/>
      </c>
      <c r="N2598" s="748" t="s">
        <v>3682</v>
      </c>
      <c r="O2598" s="748" t="str">
        <f>'Part IX A-Scoring Criteria'!O106</f>
        <v>N/a</v>
      </c>
      <c r="P2598" s="748">
        <f>'Part IX A-Scoring Criteria'!P106</f>
        <v>0</v>
      </c>
    </row>
    <row r="2599" spans="1:16">
      <c r="B2599" s="748" t="s">
        <v>3683</v>
      </c>
      <c r="C2599" s="748" t="s">
        <v>915</v>
      </c>
      <c r="M2599" s="748" t="str">
        <f>IF(AND($I$89="HOPE VI Initiative",O2599=""), "X","")</f>
        <v/>
      </c>
      <c r="N2599" s="748" t="s">
        <v>3683</v>
      </c>
      <c r="O2599" s="748" t="str">
        <f>'Part IX A-Scoring Criteria'!O107</f>
        <v>N/a</v>
      </c>
      <c r="P2599" s="748">
        <f>'Part IX A-Scoring Criteria'!P107</f>
        <v>0</v>
      </c>
    </row>
    <row r="2600" spans="1:16">
      <c r="B2600" s="748" t="s">
        <v>3684</v>
      </c>
      <c r="C2600" s="748" t="s">
        <v>916</v>
      </c>
      <c r="M2600" s="748" t="str">
        <f>IF(AND($I$89="HOPE VI Initiative",O2600=""), "X","")</f>
        <v/>
      </c>
      <c r="N2600" s="748" t="s">
        <v>3684</v>
      </c>
      <c r="O2600" s="748" t="str">
        <f>'Part IX A-Scoring Criteria'!O108</f>
        <v>N/a</v>
      </c>
      <c r="P2600" s="748">
        <f>'Part IX A-Scoring Criteria'!P108</f>
        <v>0</v>
      </c>
    </row>
    <row r="2601" spans="1:16">
      <c r="B2601" s="748" t="s">
        <v>3685</v>
      </c>
      <c r="C2601" s="748" t="s">
        <v>917</v>
      </c>
      <c r="M2601" s="748" t="str">
        <f>IF(AND($I$89="HOPE VI Initiative",O2601=""), "X","")</f>
        <v/>
      </c>
      <c r="N2601" s="748" t="s">
        <v>3685</v>
      </c>
      <c r="O2601" s="748" t="str">
        <f>'Part IX A-Scoring Criteria'!O109</f>
        <v>N/a</v>
      </c>
      <c r="P2601" s="748">
        <f>'Part IX A-Scoring Criteria'!P109</f>
        <v>0</v>
      </c>
    </row>
    <row r="2602" spans="1:16">
      <c r="B2602" s="748" t="s">
        <v>3066</v>
      </c>
      <c r="C2602" s="748" t="s">
        <v>540</v>
      </c>
      <c r="G2602" s="748" t="s">
        <v>921</v>
      </c>
      <c r="N2602" s="748" t="s">
        <v>3066</v>
      </c>
      <c r="O2602" s="748" t="str">
        <f>'Part IX A-Scoring Criteria'!O110</f>
        <v>N/a</v>
      </c>
      <c r="P2602" s="748">
        <f>'Part IX A-Scoring Criteria'!P110</f>
        <v>0</v>
      </c>
    </row>
    <row r="2603" spans="1:16">
      <c r="A2603" s="748" t="str">
        <f>'Part IX A-Scoring Criteria'!A111</f>
        <v/>
      </c>
      <c r="B2603" s="748" t="s">
        <v>3823</v>
      </c>
      <c r="C2603" s="748" t="s">
        <v>541</v>
      </c>
      <c r="G2603" s="748" t="s">
        <v>1651</v>
      </c>
      <c r="H2603" s="748" t="str">
        <f>'Part IX A-Scoring Criteria'!H111</f>
        <v>&lt;&lt;Select&gt;&gt;</v>
      </c>
      <c r="I2603" s="748" t="s">
        <v>1563</v>
      </c>
      <c r="J2603" s="748">
        <f>'Part IX A-Scoring Criteria'!J111</f>
        <v>0</v>
      </c>
      <c r="N2603" s="748" t="s">
        <v>3823</v>
      </c>
      <c r="O2603" s="748" t="str">
        <f>'Part IX A-Scoring Criteria'!O111</f>
        <v>N/a</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t="str">
        <f>'Part IX A-Scoring Criteria'!O112</f>
        <v>N/a</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t="str">
        <f>'Part IX A-Scoring Criteria'!O113</f>
        <v>N/a</v>
      </c>
      <c r="P2605" s="748">
        <f>'Part IX A-Scoring Criteria'!P113</f>
        <v>0</v>
      </c>
    </row>
    <row r="2606" spans="1:16">
      <c r="B2606" s="748" t="s">
        <v>3683</v>
      </c>
      <c r="C2606" s="748" t="s">
        <v>3711</v>
      </c>
      <c r="N2606" s="748" t="s">
        <v>3683</v>
      </c>
      <c r="O2606" s="748" t="str">
        <f>'Part IX A-Scoring Criteria'!O114</f>
        <v>N/a</v>
      </c>
      <c r="P2606" s="748">
        <f>'Part IX A-Scoring Criteria'!P114</f>
        <v>0</v>
      </c>
    </row>
    <row r="2607" spans="1:16">
      <c r="B2607" s="748" t="s">
        <v>3684</v>
      </c>
      <c r="C2607" s="748" t="s">
        <v>3712</v>
      </c>
      <c r="M2607" s="748" t="str">
        <f t="shared" ref="M2607:M2616" si="374">IF(AND($I$89="Local Redevelopment Plan",O2607=""), "X","")</f>
        <v/>
      </c>
      <c r="N2607" s="748" t="s">
        <v>3684</v>
      </c>
      <c r="O2607" s="748" t="str">
        <f>'Part IX A-Scoring Criteria'!O115</f>
        <v>N/a</v>
      </c>
      <c r="P2607" s="748">
        <f>'Part IX A-Scoring Criteria'!P115</f>
        <v>0</v>
      </c>
    </row>
    <row r="2608" spans="1:16">
      <c r="B2608" s="748" t="s">
        <v>3685</v>
      </c>
      <c r="C2608" s="748" t="s">
        <v>3713</v>
      </c>
      <c r="M2608" s="748" t="str">
        <f t="shared" si="374"/>
        <v/>
      </c>
      <c r="N2608" s="748" t="s">
        <v>3685</v>
      </c>
      <c r="O2608" s="748" t="str">
        <f>'Part IX A-Scoring Criteria'!O116</f>
        <v>N/a</v>
      </c>
      <c r="P2608" s="748">
        <f>'Part IX A-Scoring Criteria'!P116</f>
        <v>0</v>
      </c>
    </row>
    <row r="2609" spans="1:17">
      <c r="B2609" s="748" t="s">
        <v>3686</v>
      </c>
      <c r="C2609" s="748" t="s">
        <v>3714</v>
      </c>
      <c r="M2609" s="748" t="str">
        <f t="shared" si="374"/>
        <v/>
      </c>
      <c r="N2609" s="748" t="s">
        <v>3686</v>
      </c>
      <c r="O2609" s="748" t="str">
        <f>'Part IX A-Scoring Criteria'!O117</f>
        <v>N/a</v>
      </c>
      <c r="P2609" s="748">
        <f>'Part IX A-Scoring Criteria'!P117</f>
        <v>0</v>
      </c>
    </row>
    <row r="2610" spans="1:17">
      <c r="B2610" s="748" t="s">
        <v>3709</v>
      </c>
      <c r="C2610" s="748" t="s">
        <v>3715</v>
      </c>
      <c r="M2610" s="748" t="str">
        <f t="shared" si="374"/>
        <v/>
      </c>
      <c r="N2610" s="748" t="s">
        <v>3709</v>
      </c>
      <c r="O2610" s="748" t="str">
        <f>'Part IX A-Scoring Criteria'!O118</f>
        <v>N/a</v>
      </c>
      <c r="P2610" s="748">
        <f>'Part IX A-Scoring Criteria'!P118</f>
        <v>0</v>
      </c>
    </row>
    <row r="2611" spans="1:17">
      <c r="B2611" s="748" t="s">
        <v>3710</v>
      </c>
      <c r="C2611" s="748" t="s">
        <v>3716</v>
      </c>
      <c r="M2611" s="748" t="str">
        <f t="shared" si="374"/>
        <v/>
      </c>
      <c r="N2611" s="748" t="s">
        <v>3710</v>
      </c>
      <c r="O2611" s="748" t="str">
        <f>'Part IX A-Scoring Criteria'!O119</f>
        <v>N/a</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t="str">
        <f>'Part IX A-Scoring Criteria'!O121</f>
        <v>N/a</v>
      </c>
      <c r="P2613" s="748">
        <f>'Part IX A-Scoring Criteria'!P121</f>
        <v>0</v>
      </c>
    </row>
    <row r="2614" spans="1:17">
      <c r="B2614" s="748" t="s">
        <v>3718</v>
      </c>
      <c r="C2614" s="748" t="s">
        <v>3722</v>
      </c>
      <c r="M2614" s="748" t="str">
        <f t="shared" si="374"/>
        <v/>
      </c>
      <c r="N2614" s="748" t="s">
        <v>3718</v>
      </c>
      <c r="O2614" s="748" t="str">
        <f>'Part IX A-Scoring Criteria'!O122</f>
        <v>N/a</v>
      </c>
      <c r="P2614" s="748">
        <f>'Part IX A-Scoring Criteria'!P122</f>
        <v>0</v>
      </c>
    </row>
    <row r="2615" spans="1:17">
      <c r="B2615" s="748" t="s">
        <v>3719</v>
      </c>
      <c r="C2615" s="748" t="s">
        <v>3723</v>
      </c>
      <c r="M2615" s="748" t="str">
        <f t="shared" si="374"/>
        <v/>
      </c>
      <c r="N2615" s="748" t="s">
        <v>3719</v>
      </c>
      <c r="O2615" s="748" t="str">
        <f>'Part IX A-Scoring Criteria'!O123</f>
        <v>N/a</v>
      </c>
      <c r="P2615" s="748">
        <f>'Part IX A-Scoring Criteria'!P123</f>
        <v>0</v>
      </c>
    </row>
    <row r="2616" spans="1:17">
      <c r="B2616" s="748" t="s">
        <v>919</v>
      </c>
      <c r="C2616" s="748" t="s">
        <v>3724</v>
      </c>
      <c r="M2616" s="748" t="str">
        <f t="shared" si="374"/>
        <v/>
      </c>
      <c r="N2616" s="748" t="s">
        <v>919</v>
      </c>
      <c r="O2616" s="748" t="str">
        <f>'Part IX A-Scoring Criteria'!O124</f>
        <v>N/a</v>
      </c>
      <c r="P2616" s="748">
        <f>'Part IX A-Scoring Criteria'!P124</f>
        <v>0</v>
      </c>
    </row>
    <row r="2617" spans="1:17">
      <c r="B2617" s="748" t="s">
        <v>333</v>
      </c>
    </row>
    <row r="2618" spans="1:17">
      <c r="A2618" s="748" t="str">
        <f>'Part IX A-Scoring Criteria'!A126</f>
        <v>See TAB 30 for FFIEC demographics showing the project is eligible for 4 points.</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t="str">
        <f>'Part IX A-Scoring Criteria'!O134</f>
        <v>No</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t="str">
        <f>'Part IX A-Scoring Criteria'!A142</f>
        <v>The project is located in Baldwin County not in the City of Milledgeville.  See TAB 18</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t="str">
        <f>'Part IX A-Scoring Criteria'!A157</f>
        <v>See Market Study located in TAB 9</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Owner agrees to waive the qualified contract right for a period of atleast 5 years</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2842</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2868</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Heritage Vista is not applying for the nonprofit set-aside</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3060</v>
      </c>
      <c r="B2692" s="748" t="s">
        <v>4075</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4076</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2008-045 Preston Place Apartments,  2009-005 Powell Place Apartments, 2009-006 Woodlawn Terrace Apartments</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2</v>
      </c>
      <c r="P2699" s="748">
        <f>'Part IX A-Scoring Criteria'!P207</f>
        <v>0</v>
      </c>
      <c r="Q2699" s="748" t="s">
        <v>652</v>
      </c>
    </row>
    <row r="2700" spans="1:18" ht="13.15" customHeight="1">
      <c r="B2700" s="748" t="s">
        <v>1572</v>
      </c>
    </row>
    <row r="2701" spans="1:18">
      <c r="C2701" s="748" t="s">
        <v>952</v>
      </c>
      <c r="D2701" s="748" t="str">
        <f>'Part IX A-Scoring Criteria'!D209</f>
        <v>Stony Ridge Apartments</v>
      </c>
      <c r="I2701" s="748" t="s">
        <v>1573</v>
      </c>
      <c r="J2701" s="748">
        <f>'Part IX A-Scoring Criteria'!J209</f>
        <v>3</v>
      </c>
      <c r="L2701" s="748" t="s">
        <v>4077</v>
      </c>
      <c r="M2701" s="748">
        <f>'Part IX A-Scoring Criteria'!M209</f>
        <v>2</v>
      </c>
    </row>
    <row r="2702" spans="1:18">
      <c r="B2702" s="748" t="s">
        <v>333</v>
      </c>
      <c r="J2702" s="748" t="s">
        <v>2922</v>
      </c>
    </row>
    <row r="2703" spans="1:18">
      <c r="A2703" s="748" t="str">
        <f>'Part IX A-Scoring Criteria'!A211</f>
        <v>See DCA list of eligible rural counties in TAB 1</v>
      </c>
      <c r="J2703" s="748">
        <f>'Part IX A-Scoring Criteria'!J211</f>
        <v>0</v>
      </c>
    </row>
    <row r="2705" spans="1:17">
      <c r="A2705" s="748" t="s">
        <v>2679</v>
      </c>
      <c r="B2705" s="748" t="s">
        <v>2678</v>
      </c>
      <c r="L2705" s="748" t="str">
        <f>IF(OR($O2705=$M2705,$O2705=0,$O2705=""),"","* * Check Score! * *")</f>
        <v/>
      </c>
      <c r="M2705" s="748">
        <v>1</v>
      </c>
      <c r="O2705" s="748">
        <f>'Part IX A-Scoring Criteria'!O213</f>
        <v>0</v>
      </c>
      <c r="P2705" s="748">
        <f>'Part IX A-Scoring Criteria'!P213</f>
        <v>0</v>
      </c>
      <c r="Q2705" s="748" t="s">
        <v>652</v>
      </c>
    </row>
    <row r="2706" spans="1:17">
      <c r="B2706" s="748" t="s">
        <v>2893</v>
      </c>
      <c r="E2706" s="748" t="str">
        <f>'Part IX A-Scoring Criteria'!E214</f>
        <v>&lt;&lt;Select a DCA Community Initiative&gt;&gt;</v>
      </c>
      <c r="I2706" s="748" t="s">
        <v>2892</v>
      </c>
      <c r="O2706" s="748" t="s">
        <v>3795</v>
      </c>
      <c r="P2706" s="748" t="s">
        <v>3795</v>
      </c>
    </row>
    <row r="2707" spans="1:17">
      <c r="B2707" s="748" t="s">
        <v>3682</v>
      </c>
      <c r="C2707" s="748" t="s">
        <v>2680</v>
      </c>
      <c r="G2707" s="748" t="str">
        <f>'Part IX A-Scoring Criteria'!G215</f>
        <v>&lt; Select applicable GICH &gt;</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506</v>
      </c>
      <c r="N2708" s="748" t="s">
        <v>3683</v>
      </c>
      <c r="O2708" s="748">
        <f>'Part IX A-Scoring Criteria'!O216</f>
        <v>0</v>
      </c>
      <c r="P2708" s="748">
        <f>'Part IX A-Scoring Criteria'!P216</f>
        <v>0</v>
      </c>
    </row>
    <row r="2709" spans="1:17">
      <c r="B2709" s="748" t="s">
        <v>3684</v>
      </c>
      <c r="C2709" s="748" t="s">
        <v>2625</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3</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t="str">
        <f>'Part IX A-Scoring Criteria'!O229</f>
        <v>Yes</v>
      </c>
      <c r="P2721" s="748">
        <f>'Part IX A-Scoring Criteria'!P229</f>
        <v>0</v>
      </c>
    </row>
    <row r="2722" spans="1:18">
      <c r="B2722" s="748" t="s">
        <v>3066</v>
      </c>
      <c r="C2722" s="748" t="s">
        <v>871</v>
      </c>
      <c r="N2722" s="748" t="s">
        <v>3066</v>
      </c>
      <c r="O2722" s="748" t="str">
        <f>'Part IX A-Scoring Criteria'!O230</f>
        <v>Yes</v>
      </c>
      <c r="P2722" s="748">
        <f>'Part IX A-Scoring Criteria'!P230</f>
        <v>0</v>
      </c>
    </row>
    <row r="2723" spans="1:18">
      <c r="B2723" s="748" t="s">
        <v>3823</v>
      </c>
      <c r="C2723" s="748" t="s">
        <v>872</v>
      </c>
      <c r="N2723" s="748" t="s">
        <v>3823</v>
      </c>
      <c r="O2723" s="748" t="str">
        <f>'Part IX A-Scoring Criteria'!O231</f>
        <v>Yes</v>
      </c>
      <c r="P2723" s="748">
        <f>'Part IX A-Scoring Criteria'!P231</f>
        <v>0</v>
      </c>
    </row>
    <row r="2724" spans="1:18">
      <c r="B2724" s="748" t="s">
        <v>1886</v>
      </c>
      <c r="C2724" s="748" t="s">
        <v>873</v>
      </c>
      <c r="N2724" s="748" t="s">
        <v>1886</v>
      </c>
      <c r="O2724" s="748" t="str">
        <f>'Part IX A-Scoring Criteria'!O232</f>
        <v>Yes</v>
      </c>
      <c r="P2724" s="748">
        <f>'Part IX A-Scoring Criteria'!P232</f>
        <v>0</v>
      </c>
    </row>
    <row r="2725" spans="1:18">
      <c r="B2725" s="748" t="s">
        <v>1887</v>
      </c>
      <c r="C2725" s="748" t="s">
        <v>885</v>
      </c>
      <c r="N2725" s="748" t="s">
        <v>1887</v>
      </c>
      <c r="O2725" s="748" t="str">
        <f>'Part IX A-Scoring Criteria'!O233</f>
        <v>Yes</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3</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t="str">
        <f>'Part IX A-Scoring Criteria'!A253</f>
        <v>See TAB 5 for HOME Consent</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See narrative in TAB 1</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Developer is in compliance with MITAS system requirments. Owner/ Developer agrees to market to tenants with special needs.</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f>'Part IX A-Scoring Criteria'!O281</f>
        <v>0</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See TAB 38.</v>
      </c>
      <c r="Q2780" s="748" t="s">
        <v>1933</v>
      </c>
    </row>
    <row r="2781" spans="1:17">
      <c r="A2781" s="748">
        <f>'Part IX A-Scoring Criteria'!A289</f>
        <v>0</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60</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Heritage Vista Apartments presents on opportunity to provide safe, decent and affordable housing to a community that is desparately sensitive to affordability. Milledgeville is home to Georiga College and State University and Georgia Military College, both of which create a large demand for rental housing and push up rental rates in the market.  This development will create much needed affordable housing in a location that offers easy access to goods, services and employment centers. the site is elevated and will benefit from excellent visibility from US Hwy 441 below.</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2011-06-21T21:15:35Z</cp:lastPrinted>
  <dcterms:created xsi:type="dcterms:W3CDTF">2005-09-15T20:51:37Z</dcterms:created>
  <dcterms:modified xsi:type="dcterms:W3CDTF">2011-08-10T15:51:03Z</dcterms:modified>
</cp:coreProperties>
</file>