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B31" i="8"/>
  <c r="B30"/>
  <c r="C30"/>
  <c r="D30"/>
  <c r="E30"/>
  <c r="F30"/>
  <c r="G30"/>
  <c r="H30"/>
  <c r="I30"/>
  <c r="J30"/>
  <c r="K30"/>
  <c r="B65"/>
  <c r="C65"/>
  <c r="D65"/>
  <c r="E65"/>
  <c r="F65"/>
  <c r="G65"/>
  <c r="H65"/>
  <c r="I65"/>
  <c r="J65"/>
  <c r="K65"/>
  <c r="B100"/>
  <c r="C100"/>
  <c r="D100"/>
  <c r="E100"/>
  <c r="F100"/>
  <c r="G100"/>
  <c r="H100"/>
  <c r="I100"/>
  <c r="J100"/>
  <c r="K100"/>
  <c r="P46" i="36"/>
  <c r="J25" i="7"/>
  <c r="J26"/>
  <c r="P6" i="36"/>
  <c r="Q46"/>
  <c r="Q1761" i="35"/>
  <c r="G30" i="15"/>
  <c r="P30"/>
  <c r="B32" i="3"/>
  <c r="P2751" i="35"/>
  <c r="H2603"/>
  <c r="Q2135"/>
  <c r="R1726"/>
  <c r="R1727"/>
  <c r="R1728"/>
  <c r="R1729"/>
  <c r="R1730"/>
  <c r="R1731"/>
  <c r="R1732"/>
  <c r="R1733"/>
  <c r="R1734"/>
  <c r="R1735"/>
  <c r="R1736"/>
  <c r="R1737"/>
  <c r="R1738"/>
  <c r="R1739"/>
  <c r="R1740"/>
  <c r="R1741"/>
  <c r="R1742"/>
  <c r="R1743"/>
  <c r="R1744"/>
  <c r="R1745"/>
  <c r="R1746"/>
  <c r="R1747"/>
  <c r="R1748"/>
  <c r="R1749"/>
  <c r="R1750"/>
  <c r="R1751"/>
  <c r="R1752"/>
  <c r="R1753"/>
  <c r="R1754"/>
  <c r="R1755"/>
  <c r="R1756"/>
  <c r="R1757"/>
  <c r="R1758"/>
  <c r="R1759"/>
  <c r="R1760"/>
  <c r="R176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H385" i="35"/>
  <c r="A2793"/>
  <c r="A2792"/>
  <c r="P2500"/>
  <c r="P40" i="11"/>
  <c r="P38"/>
  <c r="P2530" i="35"/>
  <c r="P2547"/>
  <c r="P2631"/>
  <c r="P2624"/>
  <c r="P2658"/>
  <c r="P180" i="11"/>
  <c r="P2672" i="35"/>
  <c r="P2667"/>
  <c r="P2683"/>
  <c r="P2691"/>
  <c r="P2727"/>
  <c r="P2719"/>
  <c r="P2762"/>
  <c r="P2771"/>
  <c r="P2786"/>
  <c r="O2500"/>
  <c r="O40" i="11"/>
  <c r="O38"/>
  <c r="O2530" i="35"/>
  <c r="O2547"/>
  <c r="O82" i="11"/>
  <c r="O2574" i="35"/>
  <c r="O93" i="11"/>
  <c r="O2585" i="35"/>
  <c r="O2631"/>
  <c r="O2624"/>
  <c r="O2658"/>
  <c r="O180" i="11"/>
  <c r="O2672" i="35"/>
  <c r="O2667"/>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R2672"/>
  <c r="A2671"/>
  <c r="A2670"/>
  <c r="L2668"/>
  <c r="R2660"/>
  <c r="L2660"/>
  <c r="R2659"/>
  <c r="L2638"/>
  <c r="L2630"/>
  <c r="L2629"/>
  <c r="L2628"/>
  <c r="L2625"/>
  <c r="G2625"/>
  <c r="M2616"/>
  <c r="M2615"/>
  <c r="M2614"/>
  <c r="M2613"/>
  <c r="A120" i="11"/>
  <c r="A2612" i="35"/>
  <c r="M2611"/>
  <c r="M2610"/>
  <c r="M2609"/>
  <c r="M2608"/>
  <c r="M2607"/>
  <c r="M2605"/>
  <c r="A112" i="11"/>
  <c r="A2604" i="35"/>
  <c r="A111" i="11"/>
  <c r="A2603" i="35"/>
  <c r="M2601"/>
  <c r="M2600"/>
  <c r="M2599"/>
  <c r="M2598"/>
  <c r="A105" i="11"/>
  <c r="A2597" i="35"/>
  <c r="M2595"/>
  <c r="M2594"/>
  <c r="M2593"/>
  <c r="A100" i="11"/>
  <c r="A2592" i="35"/>
  <c r="M2591"/>
  <c r="M2590"/>
  <c r="M2589"/>
  <c r="A96" i="11"/>
  <c r="A2588" i="35"/>
  <c r="M2577"/>
  <c r="M2576"/>
  <c r="R2574"/>
  <c r="L2549"/>
  <c r="L2548"/>
  <c r="L2534"/>
  <c r="P2532"/>
  <c r="O2532"/>
  <c r="T10" i="36"/>
  <c r="T11"/>
  <c r="T12"/>
  <c r="T13"/>
  <c r="T14"/>
  <c r="T15"/>
  <c r="T16"/>
  <c r="T17"/>
  <c r="T18"/>
  <c r="T19"/>
  <c r="T20"/>
  <c r="T21"/>
  <c r="T22"/>
  <c r="T23"/>
  <c r="T24"/>
  <c r="T25"/>
  <c r="T26"/>
  <c r="T27"/>
  <c r="T28"/>
  <c r="T29"/>
  <c r="T30"/>
  <c r="T31"/>
  <c r="T32"/>
  <c r="T33"/>
  <c r="T34"/>
  <c r="T35"/>
  <c r="T36"/>
  <c r="T37"/>
  <c r="T38"/>
  <c r="T39"/>
  <c r="T40"/>
  <c r="T41"/>
  <c r="T42"/>
  <c r="T43"/>
  <c r="T44"/>
  <c r="T45"/>
  <c r="T46"/>
  <c r="T47"/>
  <c r="T48"/>
  <c r="H57"/>
  <c r="Y10"/>
  <c r="Y11"/>
  <c r="Y12"/>
  <c r="Y13"/>
  <c r="Y14"/>
  <c r="Y15"/>
  <c r="Y16"/>
  <c r="Y17"/>
  <c r="Y18"/>
  <c r="Y19"/>
  <c r="Y20"/>
  <c r="Y21"/>
  <c r="Y22"/>
  <c r="Y23"/>
  <c r="Y24"/>
  <c r="Y25"/>
  <c r="Y26"/>
  <c r="Y27"/>
  <c r="Y28"/>
  <c r="Y29"/>
  <c r="Y30"/>
  <c r="Y31"/>
  <c r="Y32"/>
  <c r="Y33"/>
  <c r="Y34"/>
  <c r="Y35"/>
  <c r="Y36"/>
  <c r="Y37"/>
  <c r="Y38"/>
  <c r="Y39"/>
  <c r="Y40"/>
  <c r="Y41"/>
  <c r="Y42"/>
  <c r="Y43"/>
  <c r="Y44"/>
  <c r="Y45"/>
  <c r="Y46"/>
  <c r="Y47"/>
  <c r="Y48"/>
  <c r="H58"/>
  <c r="H59"/>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H60"/>
  <c r="H61"/>
  <c r="U10"/>
  <c r="U11"/>
  <c r="U12"/>
  <c r="U13"/>
  <c r="U14"/>
  <c r="U15"/>
  <c r="U16"/>
  <c r="U17"/>
  <c r="U18"/>
  <c r="U19"/>
  <c r="U20"/>
  <c r="U21"/>
  <c r="U22"/>
  <c r="U23"/>
  <c r="U24"/>
  <c r="U25"/>
  <c r="U26"/>
  <c r="U27"/>
  <c r="U28"/>
  <c r="U29"/>
  <c r="U30"/>
  <c r="U31"/>
  <c r="U32"/>
  <c r="U33"/>
  <c r="U34"/>
  <c r="U35"/>
  <c r="U36"/>
  <c r="U37"/>
  <c r="U38"/>
  <c r="U39"/>
  <c r="U40"/>
  <c r="U41"/>
  <c r="U42"/>
  <c r="U43"/>
  <c r="U44"/>
  <c r="U45"/>
  <c r="U46"/>
  <c r="U47"/>
  <c r="U48"/>
  <c r="I57"/>
  <c r="Z10"/>
  <c r="Z11"/>
  <c r="Z12"/>
  <c r="Z13"/>
  <c r="Z14"/>
  <c r="Z15"/>
  <c r="Z16"/>
  <c r="Z17"/>
  <c r="Z18"/>
  <c r="Z19"/>
  <c r="Z20"/>
  <c r="Z21"/>
  <c r="Z22"/>
  <c r="Z23"/>
  <c r="Z24"/>
  <c r="Z25"/>
  <c r="Z26"/>
  <c r="Z27"/>
  <c r="Z28"/>
  <c r="Z29"/>
  <c r="Z30"/>
  <c r="Z31"/>
  <c r="Z32"/>
  <c r="Z33"/>
  <c r="Z34"/>
  <c r="Z35"/>
  <c r="Z36"/>
  <c r="Z37"/>
  <c r="Z38"/>
  <c r="Z39"/>
  <c r="Z40"/>
  <c r="Z41"/>
  <c r="Z42"/>
  <c r="Z43"/>
  <c r="Z44"/>
  <c r="Z45"/>
  <c r="Z46"/>
  <c r="Z47"/>
  <c r="Z48"/>
  <c r="I58"/>
  <c r="I5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I60"/>
  <c r="I61"/>
  <c r="V10"/>
  <c r="V11"/>
  <c r="V12"/>
  <c r="V13"/>
  <c r="V14"/>
  <c r="V15"/>
  <c r="V16"/>
  <c r="V17"/>
  <c r="V18"/>
  <c r="V19"/>
  <c r="V20"/>
  <c r="V21"/>
  <c r="V22"/>
  <c r="V23"/>
  <c r="V24"/>
  <c r="V25"/>
  <c r="V26"/>
  <c r="V27"/>
  <c r="V28"/>
  <c r="V29"/>
  <c r="V30"/>
  <c r="V31"/>
  <c r="V32"/>
  <c r="V33"/>
  <c r="V34"/>
  <c r="V35"/>
  <c r="V36"/>
  <c r="V37"/>
  <c r="V38"/>
  <c r="V39"/>
  <c r="V40"/>
  <c r="V41"/>
  <c r="V42"/>
  <c r="V43"/>
  <c r="V44"/>
  <c r="V45"/>
  <c r="V46"/>
  <c r="V47"/>
  <c r="V48"/>
  <c r="J5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J58"/>
  <c r="J5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J60"/>
  <c r="J61"/>
  <c r="W10"/>
  <c r="W11"/>
  <c r="W12"/>
  <c r="W13"/>
  <c r="W14"/>
  <c r="W15"/>
  <c r="W16"/>
  <c r="W17"/>
  <c r="W18"/>
  <c r="W19"/>
  <c r="W20"/>
  <c r="W21"/>
  <c r="W22"/>
  <c r="W23"/>
  <c r="W24"/>
  <c r="W25"/>
  <c r="W26"/>
  <c r="W27"/>
  <c r="W28"/>
  <c r="W29"/>
  <c r="W30"/>
  <c r="W31"/>
  <c r="W32"/>
  <c r="W33"/>
  <c r="W34"/>
  <c r="W35"/>
  <c r="W36"/>
  <c r="W37"/>
  <c r="W38"/>
  <c r="W39"/>
  <c r="W40"/>
  <c r="W41"/>
  <c r="W42"/>
  <c r="W43"/>
  <c r="W44"/>
  <c r="W45"/>
  <c r="W46"/>
  <c r="W47"/>
  <c r="W48"/>
  <c r="K5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K58"/>
  <c r="K59"/>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K60"/>
  <c r="K61"/>
  <c r="X10"/>
  <c r="X11"/>
  <c r="X12"/>
  <c r="X13"/>
  <c r="X14"/>
  <c r="X15"/>
  <c r="X16"/>
  <c r="X17"/>
  <c r="X18"/>
  <c r="X19"/>
  <c r="X20"/>
  <c r="X21"/>
  <c r="X22"/>
  <c r="X23"/>
  <c r="X24"/>
  <c r="X25"/>
  <c r="X26"/>
  <c r="X27"/>
  <c r="X28"/>
  <c r="X29"/>
  <c r="X30"/>
  <c r="X31"/>
  <c r="X32"/>
  <c r="X33"/>
  <c r="X34"/>
  <c r="X35"/>
  <c r="X36"/>
  <c r="X37"/>
  <c r="X38"/>
  <c r="X39"/>
  <c r="X40"/>
  <c r="X41"/>
  <c r="X42"/>
  <c r="X43"/>
  <c r="X44"/>
  <c r="X45"/>
  <c r="X46"/>
  <c r="X47"/>
  <c r="X48"/>
  <c r="L5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L58"/>
  <c r="L5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L60"/>
  <c r="L61"/>
  <c r="M61"/>
  <c r="M2524" i="35"/>
  <c r="R2523"/>
  <c r="L2523"/>
  <c r="P2509"/>
  <c r="K2509"/>
  <c r="F2509"/>
  <c r="G2504"/>
  <c r="G2503"/>
  <c r="G2502"/>
  <c r="P2498"/>
  <c r="A2493"/>
  <c r="A2051"/>
  <c r="H2051"/>
  <c r="A2049"/>
  <c r="B46" i="8"/>
  <c r="C46"/>
  <c r="D46"/>
  <c r="E46"/>
  <c r="F46"/>
  <c r="G46"/>
  <c r="H46"/>
  <c r="I46"/>
  <c r="J46"/>
  <c r="K46"/>
  <c r="B81"/>
  <c r="C81"/>
  <c r="D81"/>
  <c r="E81"/>
  <c r="F81"/>
  <c r="G81"/>
  <c r="H81"/>
  <c r="I81"/>
  <c r="J81"/>
  <c r="K81"/>
  <c r="B116"/>
  <c r="C116"/>
  <c r="D116"/>
  <c r="E116"/>
  <c r="F116"/>
  <c r="G116"/>
  <c r="H116"/>
  <c r="I116"/>
  <c r="J116"/>
  <c r="K116"/>
  <c r="B151"/>
  <c r="C151"/>
  <c r="D151"/>
  <c r="E151"/>
  <c r="F151"/>
  <c r="F2039" i="35"/>
  <c r="E2039"/>
  <c r="D2039"/>
  <c r="C2039"/>
  <c r="B2039"/>
  <c r="F150" i="8"/>
  <c r="F2038" i="35"/>
  <c r="E150" i="8"/>
  <c r="E2038" i="35"/>
  <c r="D150" i="8"/>
  <c r="D2038" i="35"/>
  <c r="C150" i="8"/>
  <c r="C2038" i="35"/>
  <c r="B150" i="8"/>
  <c r="B2038" i="35"/>
  <c r="M35" i="3"/>
  <c r="F132" i="8"/>
  <c r="E132"/>
  <c r="D132"/>
  <c r="C132"/>
  <c r="B132"/>
  <c r="K97"/>
  <c r="J97"/>
  <c r="I97"/>
  <c r="H97"/>
  <c r="G97"/>
  <c r="F97"/>
  <c r="E97"/>
  <c r="D97"/>
  <c r="C97"/>
  <c r="B97"/>
  <c r="K62"/>
  <c r="J62"/>
  <c r="I62"/>
  <c r="H62"/>
  <c r="G62"/>
  <c r="F62"/>
  <c r="E62"/>
  <c r="D62"/>
  <c r="C62"/>
  <c r="B62"/>
  <c r="K27"/>
  <c r="J27"/>
  <c r="I27"/>
  <c r="H27"/>
  <c r="G27"/>
  <c r="F27"/>
  <c r="E27"/>
  <c r="D27"/>
  <c r="C27"/>
  <c r="B27"/>
  <c r="B44"/>
  <c r="C44"/>
  <c r="D44"/>
  <c r="E44"/>
  <c r="F44"/>
  <c r="G44"/>
  <c r="H44"/>
  <c r="I44"/>
  <c r="J44"/>
  <c r="K44"/>
  <c r="B79"/>
  <c r="C79"/>
  <c r="D79"/>
  <c r="E79"/>
  <c r="F79"/>
  <c r="G79"/>
  <c r="H79"/>
  <c r="I79"/>
  <c r="J79"/>
  <c r="K79"/>
  <c r="B114"/>
  <c r="C114"/>
  <c r="D114"/>
  <c r="E114"/>
  <c r="F114"/>
  <c r="G114"/>
  <c r="H114"/>
  <c r="I114"/>
  <c r="J114"/>
  <c r="K114"/>
  <c r="B149"/>
  <c r="C149"/>
  <c r="D149"/>
  <c r="E149"/>
  <c r="F149"/>
  <c r="F2037" i="35"/>
  <c r="E2037"/>
  <c r="D2037"/>
  <c r="C2037"/>
  <c r="B2037"/>
  <c r="F148" i="8"/>
  <c r="F2036" i="35"/>
  <c r="E148" i="8"/>
  <c r="E2036" i="35"/>
  <c r="D148" i="8"/>
  <c r="D2036" i="35"/>
  <c r="C148" i="8"/>
  <c r="C2036" i="35"/>
  <c r="B148" i="8"/>
  <c r="B2036" i="35"/>
  <c r="A2036"/>
  <c r="F147" i="8"/>
  <c r="F2035" i="35"/>
  <c r="E147" i="8"/>
  <c r="E2035" i="35"/>
  <c r="D147" i="8"/>
  <c r="D2035" i="35"/>
  <c r="C147" i="8"/>
  <c r="C2035" i="35"/>
  <c r="B147" i="8"/>
  <c r="B2035" i="35"/>
  <c r="A2035"/>
  <c r="D10" i="25"/>
  <c r="J32" i="3"/>
  <c r="L32"/>
  <c r="M32"/>
  <c r="F128" i="8"/>
  <c r="E128"/>
  <c r="D128"/>
  <c r="C128"/>
  <c r="B128"/>
  <c r="K93"/>
  <c r="J93"/>
  <c r="I93"/>
  <c r="H93"/>
  <c r="G93"/>
  <c r="F93"/>
  <c r="E93"/>
  <c r="D93"/>
  <c r="C93"/>
  <c r="B93"/>
  <c r="K58"/>
  <c r="J58"/>
  <c r="I58"/>
  <c r="H58"/>
  <c r="G58"/>
  <c r="F58"/>
  <c r="E58"/>
  <c r="D58"/>
  <c r="C58"/>
  <c r="B58"/>
  <c r="K23"/>
  <c r="J23"/>
  <c r="I23"/>
  <c r="H23"/>
  <c r="G23"/>
  <c r="F23"/>
  <c r="E23"/>
  <c r="D23"/>
  <c r="C23"/>
  <c r="B23"/>
  <c r="B41"/>
  <c r="C41"/>
  <c r="D41"/>
  <c r="E41"/>
  <c r="F41"/>
  <c r="G41"/>
  <c r="H41"/>
  <c r="I41"/>
  <c r="J41"/>
  <c r="K41"/>
  <c r="B76"/>
  <c r="C76"/>
  <c r="D76"/>
  <c r="E76"/>
  <c r="F76"/>
  <c r="G76"/>
  <c r="H76"/>
  <c r="I76"/>
  <c r="J76"/>
  <c r="K76"/>
  <c r="B111"/>
  <c r="C111"/>
  <c r="D111"/>
  <c r="E111"/>
  <c r="F111"/>
  <c r="G111"/>
  <c r="H111"/>
  <c r="I111"/>
  <c r="J111"/>
  <c r="K111"/>
  <c r="B146"/>
  <c r="C146"/>
  <c r="D146"/>
  <c r="E146"/>
  <c r="F146"/>
  <c r="F2034" i="35"/>
  <c r="E2034"/>
  <c r="D2034"/>
  <c r="C2034"/>
  <c r="B2034"/>
  <c r="A2034"/>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3"/>
  <c r="F2033"/>
  <c r="E2007"/>
  <c r="E2013"/>
  <c r="E2033"/>
  <c r="D2007"/>
  <c r="D2013"/>
  <c r="D2033"/>
  <c r="C2007"/>
  <c r="C2013"/>
  <c r="C2033"/>
  <c r="B2007"/>
  <c r="B2013"/>
  <c r="B2033"/>
  <c r="M36" i="3"/>
  <c r="F133" i="8"/>
  <c r="F2021" i="35"/>
  <c r="F2016"/>
  <c r="F2017"/>
  <c r="M33" i="3"/>
  <c r="F130" i="8"/>
  <c r="F2018" i="35"/>
  <c r="M34" i="3"/>
  <c r="F131" i="8"/>
  <c r="F2019" i="35"/>
  <c r="F2020"/>
  <c r="F2032"/>
  <c r="E133" i="8"/>
  <c r="E2021" i="35"/>
  <c r="E2016"/>
  <c r="E2017"/>
  <c r="E130" i="8"/>
  <c r="E2018" i="35"/>
  <c r="E131" i="8"/>
  <c r="E2019" i="35"/>
  <c r="E2020"/>
  <c r="E2032"/>
  <c r="D133" i="8"/>
  <c r="D2021" i="35"/>
  <c r="D2016"/>
  <c r="D2017"/>
  <c r="D130" i="8"/>
  <c r="D2018" i="35"/>
  <c r="D131" i="8"/>
  <c r="D2019" i="35"/>
  <c r="D2020"/>
  <c r="D2032"/>
  <c r="C133" i="8"/>
  <c r="C2021" i="35"/>
  <c r="C2016"/>
  <c r="C2017"/>
  <c r="C130" i="8"/>
  <c r="C2018" i="35"/>
  <c r="C131" i="8"/>
  <c r="C2019" i="35"/>
  <c r="C2020"/>
  <c r="C2032"/>
  <c r="B133" i="8"/>
  <c r="B2021" i="35"/>
  <c r="B2016"/>
  <c r="B2017"/>
  <c r="B130" i="8"/>
  <c r="B2018" i="35"/>
  <c r="B131" i="8"/>
  <c r="B2019" i="35"/>
  <c r="B2020"/>
  <c r="B2032"/>
  <c r="A1962"/>
  <c r="A1997"/>
  <c r="A2032"/>
  <c r="F2015"/>
  <c r="F2031"/>
  <c r="E2015"/>
  <c r="E2031"/>
  <c r="D2015"/>
  <c r="D2031"/>
  <c r="C2015"/>
  <c r="C2031"/>
  <c r="B2015"/>
  <c r="B2031"/>
  <c r="A1961"/>
  <c r="A1996"/>
  <c r="A2031"/>
  <c r="F2030"/>
  <c r="E2030"/>
  <c r="D2030"/>
  <c r="C2030"/>
  <c r="B2030"/>
  <c r="A1925"/>
  <c r="A1960"/>
  <c r="A1995"/>
  <c r="A2030"/>
  <c r="F2029"/>
  <c r="E2029"/>
  <c r="D2029"/>
  <c r="C2029"/>
  <c r="B2029"/>
  <c r="A1924"/>
  <c r="A1959"/>
  <c r="A1994"/>
  <c r="A2029"/>
  <c r="F2028"/>
  <c r="E2028"/>
  <c r="D2028"/>
  <c r="C2028"/>
  <c r="B2028"/>
  <c r="A1923"/>
  <c r="A1958"/>
  <c r="A1993"/>
  <c r="A2028"/>
  <c r="F2027"/>
  <c r="E2027"/>
  <c r="D2027"/>
  <c r="C2027"/>
  <c r="B2027"/>
  <c r="A1922"/>
  <c r="A1957"/>
  <c r="A1992"/>
  <c r="A2027"/>
  <c r="F2026"/>
  <c r="E2026"/>
  <c r="D2026"/>
  <c r="C2026"/>
  <c r="B2026"/>
  <c r="B32" i="8"/>
  <c r="C32"/>
  <c r="D32"/>
  <c r="E32"/>
  <c r="F32"/>
  <c r="G32"/>
  <c r="H32"/>
  <c r="I32"/>
  <c r="J32"/>
  <c r="K32"/>
  <c r="B67"/>
  <c r="C67"/>
  <c r="D67"/>
  <c r="E67"/>
  <c r="F67"/>
  <c r="G67"/>
  <c r="H67"/>
  <c r="I67"/>
  <c r="J67"/>
  <c r="K67"/>
  <c r="B102"/>
  <c r="C102"/>
  <c r="D102"/>
  <c r="E102"/>
  <c r="F102"/>
  <c r="G102"/>
  <c r="H102"/>
  <c r="I102"/>
  <c r="J102"/>
  <c r="K102"/>
  <c r="B137"/>
  <c r="C137"/>
  <c r="D137"/>
  <c r="E137"/>
  <c r="F137"/>
  <c r="F2025" i="35"/>
  <c r="E2025"/>
  <c r="D2025"/>
  <c r="C2025"/>
  <c r="B2025"/>
  <c r="F2024"/>
  <c r="E2024"/>
  <c r="D2024"/>
  <c r="C2024"/>
  <c r="B2024"/>
  <c r="B135" i="8"/>
  <c r="C135"/>
  <c r="D135"/>
  <c r="E135"/>
  <c r="F135"/>
  <c r="F2023" i="35"/>
  <c r="E2023"/>
  <c r="D2023"/>
  <c r="C2023"/>
  <c r="B2023"/>
  <c r="F2022"/>
  <c r="E2022"/>
  <c r="D2022"/>
  <c r="C2022"/>
  <c r="B2022"/>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09"/>
  <c r="D2008"/>
  <c r="D2009"/>
  <c r="C2008"/>
  <c r="C2009"/>
  <c r="B2008"/>
  <c r="B2009"/>
  <c r="K2004"/>
  <c r="J2004"/>
  <c r="I2004"/>
  <c r="H2004"/>
  <c r="G2004"/>
  <c r="F2004"/>
  <c r="E2004"/>
  <c r="D2004"/>
  <c r="C2004"/>
  <c r="B2004"/>
  <c r="K115" i="8"/>
  <c r="K2003" i="35"/>
  <c r="J115" i="8"/>
  <c r="J2003" i="35"/>
  <c r="I115" i="8"/>
  <c r="I2003" i="35"/>
  <c r="H115" i="8"/>
  <c r="H2003" i="35"/>
  <c r="G115" i="8"/>
  <c r="G2003" i="35"/>
  <c r="F115" i="8"/>
  <c r="F2003" i="35"/>
  <c r="E115" i="8"/>
  <c r="E2003" i="35"/>
  <c r="D115" i="8"/>
  <c r="D2003" i="35"/>
  <c r="C115" i="8"/>
  <c r="C2003" i="35"/>
  <c r="B115" i="8"/>
  <c r="B2003" i="35"/>
  <c r="K2002"/>
  <c r="J2002"/>
  <c r="I2002"/>
  <c r="H2002"/>
  <c r="G2002"/>
  <c r="F2002"/>
  <c r="E2002"/>
  <c r="D2002"/>
  <c r="C2002"/>
  <c r="B2002"/>
  <c r="K113" i="8"/>
  <c r="K2001" i="35"/>
  <c r="J113" i="8"/>
  <c r="J2001" i="35"/>
  <c r="I113" i="8"/>
  <c r="I2001" i="35"/>
  <c r="H113" i="8"/>
  <c r="H2001" i="35"/>
  <c r="G113" i="8"/>
  <c r="G2001" i="35"/>
  <c r="F113" i="8"/>
  <c r="F2001" i="35"/>
  <c r="E113" i="8"/>
  <c r="E2001" i="35"/>
  <c r="D113" i="8"/>
  <c r="D2001" i="35"/>
  <c r="C113" i="8"/>
  <c r="C2001" i="35"/>
  <c r="B113" i="8"/>
  <c r="B2001" i="35"/>
  <c r="A2001"/>
  <c r="K112" i="8"/>
  <c r="K2000" i="35"/>
  <c r="J112" i="8"/>
  <c r="J2000" i="35"/>
  <c r="I112" i="8"/>
  <c r="I2000" i="35"/>
  <c r="H112" i="8"/>
  <c r="H2000" i="35"/>
  <c r="G112" i="8"/>
  <c r="G2000" i="35"/>
  <c r="F112" i="8"/>
  <c r="F2000" i="35"/>
  <c r="E112" i="8"/>
  <c r="E2000" i="35"/>
  <c r="D112" i="8"/>
  <c r="D2000" i="35"/>
  <c r="C112" i="8"/>
  <c r="C2000" i="35"/>
  <c r="B112" i="8"/>
  <c r="B2000" i="35"/>
  <c r="A2000"/>
  <c r="K1999"/>
  <c r="J1999"/>
  <c r="I1999"/>
  <c r="H1999"/>
  <c r="G1999"/>
  <c r="F1999"/>
  <c r="E1999"/>
  <c r="D1999"/>
  <c r="C1999"/>
  <c r="B1999"/>
  <c r="A1999"/>
  <c r="K1972"/>
  <c r="K1978"/>
  <c r="K1998"/>
  <c r="J1972"/>
  <c r="J1978"/>
  <c r="J1998"/>
  <c r="I1972"/>
  <c r="I1978"/>
  <c r="I1998"/>
  <c r="H1972"/>
  <c r="H1978"/>
  <c r="H1998"/>
  <c r="G1972"/>
  <c r="G1978"/>
  <c r="G1998"/>
  <c r="F1972"/>
  <c r="F1978"/>
  <c r="F1998"/>
  <c r="E1972"/>
  <c r="E1978"/>
  <c r="E1998"/>
  <c r="D1972"/>
  <c r="D1978"/>
  <c r="D1998"/>
  <c r="C1972"/>
  <c r="C1978"/>
  <c r="C1998"/>
  <c r="B1972"/>
  <c r="B1978"/>
  <c r="B1998"/>
  <c r="K98" i="8"/>
  <c r="K1986" i="35"/>
  <c r="K1981"/>
  <c r="K1982"/>
  <c r="K95" i="8"/>
  <c r="K1983" i="35"/>
  <c r="K96" i="8"/>
  <c r="K1984" i="35"/>
  <c r="K1985"/>
  <c r="K1997"/>
  <c r="J98" i="8"/>
  <c r="J1986" i="35"/>
  <c r="J1981"/>
  <c r="J1982"/>
  <c r="J95" i="8"/>
  <c r="J1983" i="35"/>
  <c r="J96" i="8"/>
  <c r="J1984" i="35"/>
  <c r="J1985"/>
  <c r="J1997"/>
  <c r="I98" i="8"/>
  <c r="I1986" i="35"/>
  <c r="I1981"/>
  <c r="I1982"/>
  <c r="I95" i="8"/>
  <c r="I1983" i="35"/>
  <c r="I96" i="8"/>
  <c r="I1984" i="35"/>
  <c r="I1985"/>
  <c r="I1997"/>
  <c r="H98" i="8"/>
  <c r="H1986" i="35"/>
  <c r="H1981"/>
  <c r="H1982"/>
  <c r="H95" i="8"/>
  <c r="H1983" i="35"/>
  <c r="H96" i="8"/>
  <c r="H1984" i="35"/>
  <c r="H1985"/>
  <c r="H1997"/>
  <c r="G98" i="8"/>
  <c r="G1986" i="35"/>
  <c r="G1981"/>
  <c r="G1982"/>
  <c r="G95" i="8"/>
  <c r="G1983" i="35"/>
  <c r="G96" i="8"/>
  <c r="G1984" i="35"/>
  <c r="G1985"/>
  <c r="G1997"/>
  <c r="F98" i="8"/>
  <c r="F1986" i="35"/>
  <c r="F1981"/>
  <c r="F1982"/>
  <c r="F95" i="8"/>
  <c r="F1983" i="35"/>
  <c r="F96" i="8"/>
  <c r="F1984" i="35"/>
  <c r="F1985"/>
  <c r="F1997"/>
  <c r="E98" i="8"/>
  <c r="E1986" i="35"/>
  <c r="E1981"/>
  <c r="E1982"/>
  <c r="E95" i="8"/>
  <c r="E1983" i="35"/>
  <c r="E96" i="8"/>
  <c r="E1984" i="35"/>
  <c r="E1985"/>
  <c r="E1997"/>
  <c r="D98" i="8"/>
  <c r="D1986" i="35"/>
  <c r="D1981"/>
  <c r="D1982"/>
  <c r="D95" i="8"/>
  <c r="D1983" i="35"/>
  <c r="D96" i="8"/>
  <c r="D1984" i="35"/>
  <c r="D1985"/>
  <c r="D1997"/>
  <c r="C98" i="8"/>
  <c r="C1986" i="35"/>
  <c r="C1981"/>
  <c r="C1982"/>
  <c r="C95" i="8"/>
  <c r="C1983" i="35"/>
  <c r="C96" i="8"/>
  <c r="C1984" i="35"/>
  <c r="C1985"/>
  <c r="C1997"/>
  <c r="B98" i="8"/>
  <c r="B1986" i="35"/>
  <c r="B1981"/>
  <c r="B1982"/>
  <c r="B95" i="8"/>
  <c r="B1983" i="35"/>
  <c r="B96" i="8"/>
  <c r="B1984" i="35"/>
  <c r="B1985"/>
  <c r="B1997"/>
  <c r="K1980"/>
  <c r="K1996"/>
  <c r="J1980"/>
  <c r="J1996"/>
  <c r="I1980"/>
  <c r="I1996"/>
  <c r="H1980"/>
  <c r="H1996"/>
  <c r="G1980"/>
  <c r="G1996"/>
  <c r="F1980"/>
  <c r="F1996"/>
  <c r="E1980"/>
  <c r="E1996"/>
  <c r="D1980"/>
  <c r="D1996"/>
  <c r="C1980"/>
  <c r="C1996"/>
  <c r="B1980"/>
  <c r="B1996"/>
  <c r="K1995"/>
  <c r="J1995"/>
  <c r="I1995"/>
  <c r="H1995"/>
  <c r="G1995"/>
  <c r="F1995"/>
  <c r="E1995"/>
  <c r="D1995"/>
  <c r="C1995"/>
  <c r="B1995"/>
  <c r="K1994"/>
  <c r="J1994"/>
  <c r="I1994"/>
  <c r="H1994"/>
  <c r="G1994"/>
  <c r="F1994"/>
  <c r="E1994"/>
  <c r="D1994"/>
  <c r="C1994"/>
  <c r="B1994"/>
  <c r="K1993"/>
  <c r="J1993"/>
  <c r="I1993"/>
  <c r="H1993"/>
  <c r="G1993"/>
  <c r="F1993"/>
  <c r="E1993"/>
  <c r="D1993"/>
  <c r="C1993"/>
  <c r="B1993"/>
  <c r="K1992"/>
  <c r="J1992"/>
  <c r="I1992"/>
  <c r="H1992"/>
  <c r="G1992"/>
  <c r="F1992"/>
  <c r="E1992"/>
  <c r="D1992"/>
  <c r="C1992"/>
  <c r="B1992"/>
  <c r="K1991"/>
  <c r="J1991"/>
  <c r="I1991"/>
  <c r="H1991"/>
  <c r="G1991"/>
  <c r="F1991"/>
  <c r="E1991"/>
  <c r="D1991"/>
  <c r="C1991"/>
  <c r="B1991"/>
  <c r="K1990"/>
  <c r="J1990"/>
  <c r="I1990"/>
  <c r="H1990"/>
  <c r="G1990"/>
  <c r="F1990"/>
  <c r="E1990"/>
  <c r="D1990"/>
  <c r="C1990"/>
  <c r="B1990"/>
  <c r="K1989"/>
  <c r="J1989"/>
  <c r="I1989"/>
  <c r="H1989"/>
  <c r="G1989"/>
  <c r="F1989"/>
  <c r="E1989"/>
  <c r="D1989"/>
  <c r="C1989"/>
  <c r="B1989"/>
  <c r="K1988"/>
  <c r="J1988"/>
  <c r="I1988"/>
  <c r="H1988"/>
  <c r="G1988"/>
  <c r="F1988"/>
  <c r="E1988"/>
  <c r="D1988"/>
  <c r="C1988"/>
  <c r="B1988"/>
  <c r="K1987"/>
  <c r="J1987"/>
  <c r="I1987"/>
  <c r="H1987"/>
  <c r="G1987"/>
  <c r="F1987"/>
  <c r="E1987"/>
  <c r="D1987"/>
  <c r="C1987"/>
  <c r="B1987"/>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K1969"/>
  <c r="J1969"/>
  <c r="I1969"/>
  <c r="H1969"/>
  <c r="G1969"/>
  <c r="F1969"/>
  <c r="E1969"/>
  <c r="D1969"/>
  <c r="C1969"/>
  <c r="B1969"/>
  <c r="K80" i="8"/>
  <c r="K1968" i="35"/>
  <c r="J80" i="8"/>
  <c r="J1968" i="35"/>
  <c r="I80" i="8"/>
  <c r="I1968" i="35"/>
  <c r="H80" i="8"/>
  <c r="H1968" i="35"/>
  <c r="G80" i="8"/>
  <c r="G1968" i="35"/>
  <c r="F80" i="8"/>
  <c r="F1968" i="35"/>
  <c r="E80" i="8"/>
  <c r="E1968" i="35"/>
  <c r="D80" i="8"/>
  <c r="D1968" i="35"/>
  <c r="C80" i="8"/>
  <c r="C1968" i="35"/>
  <c r="B80" i="8"/>
  <c r="B1968" i="35"/>
  <c r="K1967"/>
  <c r="J1967"/>
  <c r="I1967"/>
  <c r="H1967"/>
  <c r="G1967"/>
  <c r="F1967"/>
  <c r="E1967"/>
  <c r="D1967"/>
  <c r="C1967"/>
  <c r="B1967"/>
  <c r="K78" i="8"/>
  <c r="K1966" i="35"/>
  <c r="J78" i="8"/>
  <c r="J1966" i="35"/>
  <c r="I78" i="8"/>
  <c r="I1966" i="35"/>
  <c r="H78" i="8"/>
  <c r="H1966" i="35"/>
  <c r="G78" i="8"/>
  <c r="G1966" i="35"/>
  <c r="F78" i="8"/>
  <c r="F1966" i="35"/>
  <c r="E78" i="8"/>
  <c r="E1966" i="35"/>
  <c r="D78" i="8"/>
  <c r="D1966" i="35"/>
  <c r="C78" i="8"/>
  <c r="C1966" i="35"/>
  <c r="B78" i="8"/>
  <c r="B1966" i="35"/>
  <c r="A1966"/>
  <c r="K77" i="8"/>
  <c r="K1965" i="35"/>
  <c r="J77" i="8"/>
  <c r="J1965" i="35"/>
  <c r="I77" i="8"/>
  <c r="I1965" i="35"/>
  <c r="H77" i="8"/>
  <c r="H1965" i="35"/>
  <c r="G77" i="8"/>
  <c r="G1965" i="35"/>
  <c r="F77" i="8"/>
  <c r="F1965" i="35"/>
  <c r="E77" i="8"/>
  <c r="E1965" i="35"/>
  <c r="D77" i="8"/>
  <c r="D1965" i="35"/>
  <c r="C77" i="8"/>
  <c r="C1965" i="35"/>
  <c r="B77" i="8"/>
  <c r="B1965" i="35"/>
  <c r="A1965"/>
  <c r="K1964"/>
  <c r="J1964"/>
  <c r="I1964"/>
  <c r="H1964"/>
  <c r="G1964"/>
  <c r="F1964"/>
  <c r="E1964"/>
  <c r="D1964"/>
  <c r="C1964"/>
  <c r="B1964"/>
  <c r="A1964"/>
  <c r="K1937"/>
  <c r="K1943"/>
  <c r="K1963"/>
  <c r="J1937"/>
  <c r="J1943"/>
  <c r="J1963"/>
  <c r="I1937"/>
  <c r="I1943"/>
  <c r="I1963"/>
  <c r="H1937"/>
  <c r="H1943"/>
  <c r="H1963"/>
  <c r="G1937"/>
  <c r="G1943"/>
  <c r="G1963"/>
  <c r="F1937"/>
  <c r="F1943"/>
  <c r="F1963"/>
  <c r="E1937"/>
  <c r="E1943"/>
  <c r="E1963"/>
  <c r="D1937"/>
  <c r="D1943"/>
  <c r="D1963"/>
  <c r="C1937"/>
  <c r="C1943"/>
  <c r="C1963"/>
  <c r="B1937"/>
  <c r="B1943"/>
  <c r="B1963"/>
  <c r="K63" i="8"/>
  <c r="K1951" i="35"/>
  <c r="K1946"/>
  <c r="K1947"/>
  <c r="K60" i="8"/>
  <c r="K1948" i="35"/>
  <c r="K61" i="8"/>
  <c r="K1949" i="35"/>
  <c r="K1950"/>
  <c r="K1962"/>
  <c r="J63" i="8"/>
  <c r="J1951" i="35"/>
  <c r="J1946"/>
  <c r="J1947"/>
  <c r="J60" i="8"/>
  <c r="J1948" i="35"/>
  <c r="J61" i="8"/>
  <c r="J1949" i="35"/>
  <c r="J1950"/>
  <c r="J1962"/>
  <c r="I63" i="8"/>
  <c r="I1951" i="35"/>
  <c r="I1946"/>
  <c r="I1947"/>
  <c r="I60" i="8"/>
  <c r="I1948" i="35"/>
  <c r="I61" i="8"/>
  <c r="I1949" i="35"/>
  <c r="I1950"/>
  <c r="I1962"/>
  <c r="H63" i="8"/>
  <c r="H1951" i="35"/>
  <c r="H1946"/>
  <c r="H1947"/>
  <c r="H60" i="8"/>
  <c r="H1948" i="35"/>
  <c r="H61" i="8"/>
  <c r="H1949" i="35"/>
  <c r="H1950"/>
  <c r="H1962"/>
  <c r="G63" i="8"/>
  <c r="G1951" i="35"/>
  <c r="G1946"/>
  <c r="G1947"/>
  <c r="G60" i="8"/>
  <c r="G1948" i="35"/>
  <c r="G61" i="8"/>
  <c r="G1949" i="35"/>
  <c r="G1950"/>
  <c r="G1962"/>
  <c r="F63" i="8"/>
  <c r="F1951" i="35"/>
  <c r="F1946"/>
  <c r="F1947"/>
  <c r="F60" i="8"/>
  <c r="F1948" i="35"/>
  <c r="F61" i="8"/>
  <c r="F1949" i="35"/>
  <c r="F1950"/>
  <c r="F1962"/>
  <c r="E63" i="8"/>
  <c r="E1951" i="35"/>
  <c r="E1946"/>
  <c r="E1947"/>
  <c r="E60" i="8"/>
  <c r="E1948" i="35"/>
  <c r="E61" i="8"/>
  <c r="E1949" i="35"/>
  <c r="E1950"/>
  <c r="E1962"/>
  <c r="D63" i="8"/>
  <c r="D1951" i="35"/>
  <c r="D1946"/>
  <c r="D1947"/>
  <c r="D60" i="8"/>
  <c r="D1948" i="35"/>
  <c r="D61" i="8"/>
  <c r="D1949" i="35"/>
  <c r="D1950"/>
  <c r="D1962"/>
  <c r="C63" i="8"/>
  <c r="C1951" i="35"/>
  <c r="C1946"/>
  <c r="C1947"/>
  <c r="C60" i="8"/>
  <c r="C1948" i="35"/>
  <c r="C61" i="8"/>
  <c r="C1949" i="35"/>
  <c r="C1950"/>
  <c r="C1962"/>
  <c r="B63" i="8"/>
  <c r="B1951" i="35"/>
  <c r="B1946"/>
  <c r="B1947"/>
  <c r="B60" i="8"/>
  <c r="B1948" i="35"/>
  <c r="B61" i="8"/>
  <c r="B1949" i="35"/>
  <c r="B1950"/>
  <c r="B1962"/>
  <c r="K1945"/>
  <c r="K1961"/>
  <c r="J1945"/>
  <c r="J1961"/>
  <c r="I1945"/>
  <c r="I1961"/>
  <c r="H1945"/>
  <c r="H1961"/>
  <c r="G1945"/>
  <c r="G1961"/>
  <c r="F1945"/>
  <c r="F1961"/>
  <c r="E1945"/>
  <c r="E1961"/>
  <c r="D1945"/>
  <c r="D1961"/>
  <c r="C1945"/>
  <c r="C1961"/>
  <c r="B1945"/>
  <c r="B1961"/>
  <c r="K1960"/>
  <c r="J1960"/>
  <c r="I1960"/>
  <c r="H1960"/>
  <c r="G1960"/>
  <c r="F1960"/>
  <c r="E1960"/>
  <c r="D1960"/>
  <c r="C1960"/>
  <c r="B1960"/>
  <c r="K1959"/>
  <c r="J1959"/>
  <c r="I1959"/>
  <c r="H1959"/>
  <c r="G1959"/>
  <c r="F1959"/>
  <c r="E1959"/>
  <c r="D1959"/>
  <c r="C1959"/>
  <c r="B1959"/>
  <c r="K1958"/>
  <c r="J1958"/>
  <c r="I1958"/>
  <c r="H1958"/>
  <c r="G1958"/>
  <c r="F1958"/>
  <c r="E1958"/>
  <c r="D1958"/>
  <c r="C1958"/>
  <c r="B1958"/>
  <c r="K1957"/>
  <c r="J1957"/>
  <c r="I1957"/>
  <c r="H1957"/>
  <c r="G1957"/>
  <c r="F1957"/>
  <c r="E1957"/>
  <c r="D1957"/>
  <c r="C1957"/>
  <c r="B1957"/>
  <c r="K1956"/>
  <c r="J1956"/>
  <c r="I1956"/>
  <c r="H1956"/>
  <c r="G1956"/>
  <c r="F1956"/>
  <c r="E1956"/>
  <c r="D1956"/>
  <c r="C1956"/>
  <c r="B1956"/>
  <c r="K1955"/>
  <c r="J1955"/>
  <c r="I1955"/>
  <c r="H1955"/>
  <c r="G1955"/>
  <c r="F1955"/>
  <c r="E1955"/>
  <c r="D1955"/>
  <c r="C1955"/>
  <c r="B1955"/>
  <c r="K1954"/>
  <c r="J1954"/>
  <c r="I1954"/>
  <c r="H1954"/>
  <c r="G1954"/>
  <c r="F1954"/>
  <c r="E1954"/>
  <c r="D1954"/>
  <c r="C1954"/>
  <c r="B1954"/>
  <c r="K1953"/>
  <c r="J1953"/>
  <c r="I1953"/>
  <c r="H1953"/>
  <c r="G1953"/>
  <c r="F1953"/>
  <c r="E1953"/>
  <c r="D1953"/>
  <c r="C1953"/>
  <c r="B1953"/>
  <c r="K1952"/>
  <c r="J1952"/>
  <c r="I1952"/>
  <c r="H1952"/>
  <c r="G1952"/>
  <c r="F1952"/>
  <c r="E1952"/>
  <c r="D1952"/>
  <c r="C1952"/>
  <c r="B1952"/>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K1934"/>
  <c r="J1934"/>
  <c r="I1934"/>
  <c r="H1934"/>
  <c r="G1934"/>
  <c r="F1934"/>
  <c r="E1934"/>
  <c r="D1934"/>
  <c r="C1934"/>
  <c r="B1934"/>
  <c r="K45" i="8"/>
  <c r="K1933" i="35"/>
  <c r="J45" i="8"/>
  <c r="J1933" i="35"/>
  <c r="I45" i="8"/>
  <c r="I1933" i="35"/>
  <c r="H45" i="8"/>
  <c r="H1933" i="35"/>
  <c r="G45" i="8"/>
  <c r="G1933" i="35"/>
  <c r="F45" i="8"/>
  <c r="F1933" i="35"/>
  <c r="E45" i="8"/>
  <c r="E1933" i="35"/>
  <c r="D45" i="8"/>
  <c r="D1933" i="35"/>
  <c r="C45" i="8"/>
  <c r="C1933" i="35"/>
  <c r="B45" i="8"/>
  <c r="B1933" i="35"/>
  <c r="K1932"/>
  <c r="J1932"/>
  <c r="I1932"/>
  <c r="H1932"/>
  <c r="G1932"/>
  <c r="F1932"/>
  <c r="E1932"/>
  <c r="D1932"/>
  <c r="C1932"/>
  <c r="B1932"/>
  <c r="K43" i="8"/>
  <c r="K1931" i="35"/>
  <c r="J43" i="8"/>
  <c r="J1931" i="35"/>
  <c r="I43" i="8"/>
  <c r="I1931" i="35"/>
  <c r="H43" i="8"/>
  <c r="H1931" i="35"/>
  <c r="G43" i="8"/>
  <c r="G1931" i="35"/>
  <c r="F43" i="8"/>
  <c r="F1931" i="35"/>
  <c r="E43" i="8"/>
  <c r="E1931" i="35"/>
  <c r="D43" i="8"/>
  <c r="D1931" i="35"/>
  <c r="C43" i="8"/>
  <c r="C1931" i="35"/>
  <c r="B43" i="8"/>
  <c r="B1931" i="35"/>
  <c r="A1931"/>
  <c r="K42" i="8"/>
  <c r="K1930" i="35"/>
  <c r="J42" i="8"/>
  <c r="J1930" i="35"/>
  <c r="I42" i="8"/>
  <c r="I1930" i="35"/>
  <c r="H42" i="8"/>
  <c r="H1930" i="35"/>
  <c r="G42" i="8"/>
  <c r="G1930" i="35"/>
  <c r="F42" i="8"/>
  <c r="F1930" i="35"/>
  <c r="E42" i="8"/>
  <c r="E1930" i="35"/>
  <c r="D42" i="8"/>
  <c r="D1930" i="35"/>
  <c r="C42" i="8"/>
  <c r="C1930" i="35"/>
  <c r="B42" i="8"/>
  <c r="B1930" i="35"/>
  <c r="A1930"/>
  <c r="K1929"/>
  <c r="J1929"/>
  <c r="I1929"/>
  <c r="H1929"/>
  <c r="G1929"/>
  <c r="F1929"/>
  <c r="E1929"/>
  <c r="D1929"/>
  <c r="C1929"/>
  <c r="B1929"/>
  <c r="A1929"/>
  <c r="K1902"/>
  <c r="K1908"/>
  <c r="K1928"/>
  <c r="J1902"/>
  <c r="J1908"/>
  <c r="J1928"/>
  <c r="I1902"/>
  <c r="I1908"/>
  <c r="I1928"/>
  <c r="H1902"/>
  <c r="H1908"/>
  <c r="H1928"/>
  <c r="G1902"/>
  <c r="G1908"/>
  <c r="G1928"/>
  <c r="F1902"/>
  <c r="F1908"/>
  <c r="F1928"/>
  <c r="E1902"/>
  <c r="E1908"/>
  <c r="E1928"/>
  <c r="D1902"/>
  <c r="D1908"/>
  <c r="D1928"/>
  <c r="C1902"/>
  <c r="C1908"/>
  <c r="C1928"/>
  <c r="B1902"/>
  <c r="B1903"/>
  <c r="B1904"/>
  <c r="B1905"/>
  <c r="B1908"/>
  <c r="B1906"/>
  <c r="B1907"/>
  <c r="B1909"/>
  <c r="B1928"/>
  <c r="K28" i="8"/>
  <c r="K1916" i="35"/>
  <c r="K1911"/>
  <c r="K1912"/>
  <c r="K25" i="8"/>
  <c r="K1913" i="35"/>
  <c r="K26" i="8"/>
  <c r="K1914" i="35"/>
  <c r="K1915"/>
  <c r="K1927"/>
  <c r="J28" i="8"/>
  <c r="J1916" i="35"/>
  <c r="J1911"/>
  <c r="J1912"/>
  <c r="J25" i="8"/>
  <c r="J1913" i="35"/>
  <c r="J26" i="8"/>
  <c r="J1914" i="35"/>
  <c r="J1915"/>
  <c r="J1927"/>
  <c r="I28" i="8"/>
  <c r="I1916" i="35"/>
  <c r="I1911"/>
  <c r="I1912"/>
  <c r="I25" i="8"/>
  <c r="I1913" i="35"/>
  <c r="I26" i="8"/>
  <c r="I1914" i="35"/>
  <c r="I1915"/>
  <c r="I1927"/>
  <c r="H28" i="8"/>
  <c r="H1916" i="35"/>
  <c r="H1911"/>
  <c r="H1912"/>
  <c r="H25" i="8"/>
  <c r="H1913" i="35"/>
  <c r="H26" i="8"/>
  <c r="H1914" i="35"/>
  <c r="H1915"/>
  <c r="H1927"/>
  <c r="G28" i="8"/>
  <c r="G1916" i="35"/>
  <c r="G1911"/>
  <c r="G1912"/>
  <c r="G25" i="8"/>
  <c r="G1913" i="35"/>
  <c r="G26" i="8"/>
  <c r="G1914" i="35"/>
  <c r="G1915"/>
  <c r="G1927"/>
  <c r="F28" i="8"/>
  <c r="F1916" i="35"/>
  <c r="F1911"/>
  <c r="F1912"/>
  <c r="F25" i="8"/>
  <c r="F1913" i="35"/>
  <c r="F26" i="8"/>
  <c r="F1914" i="35"/>
  <c r="F1915"/>
  <c r="F1927"/>
  <c r="E28" i="8"/>
  <c r="E1916" i="35"/>
  <c r="E1911"/>
  <c r="E1912"/>
  <c r="E25" i="8"/>
  <c r="E1913" i="35"/>
  <c r="E26" i="8"/>
  <c r="E1914" i="35"/>
  <c r="E1915"/>
  <c r="E1927"/>
  <c r="D28" i="8"/>
  <c r="D1916" i="35"/>
  <c r="D1911"/>
  <c r="D1912"/>
  <c r="D25" i="8"/>
  <c r="D1913" i="35"/>
  <c r="D26" i="8"/>
  <c r="D1914" i="35"/>
  <c r="D1915"/>
  <c r="D1927"/>
  <c r="C28" i="8"/>
  <c r="C1916" i="35"/>
  <c r="C1911"/>
  <c r="C1912"/>
  <c r="C25" i="8"/>
  <c r="C1913" i="35"/>
  <c r="C26" i="8"/>
  <c r="C1914" i="35"/>
  <c r="C1915"/>
  <c r="C1927"/>
  <c r="B28" i="8"/>
  <c r="B1916" i="35"/>
  <c r="B1911"/>
  <c r="B1912"/>
  <c r="B25" i="8"/>
  <c r="B1913" i="35"/>
  <c r="B26" i="8"/>
  <c r="B1914" i="35"/>
  <c r="B1915"/>
  <c r="B1927"/>
  <c r="K1910"/>
  <c r="K1926"/>
  <c r="J1910"/>
  <c r="J1926"/>
  <c r="I1910"/>
  <c r="I1926"/>
  <c r="H1910"/>
  <c r="H1926"/>
  <c r="G1910"/>
  <c r="G1926"/>
  <c r="F1910"/>
  <c r="F1926"/>
  <c r="E1910"/>
  <c r="E1926"/>
  <c r="D1910"/>
  <c r="D1926"/>
  <c r="C1910"/>
  <c r="C1926"/>
  <c r="B1910"/>
  <c r="B1926"/>
  <c r="K1925"/>
  <c r="J1925"/>
  <c r="I1925"/>
  <c r="H1925"/>
  <c r="G1925"/>
  <c r="F1925"/>
  <c r="E1925"/>
  <c r="D1925"/>
  <c r="C1925"/>
  <c r="B1925"/>
  <c r="K1924"/>
  <c r="J1924"/>
  <c r="I1924"/>
  <c r="H1924"/>
  <c r="G1924"/>
  <c r="F1924"/>
  <c r="E1924"/>
  <c r="D1924"/>
  <c r="C1924"/>
  <c r="B1924"/>
  <c r="K1923"/>
  <c r="J1923"/>
  <c r="I1923"/>
  <c r="H1923"/>
  <c r="G1923"/>
  <c r="F1923"/>
  <c r="E1923"/>
  <c r="D1923"/>
  <c r="C1923"/>
  <c r="B1923"/>
  <c r="K1922"/>
  <c r="J1922"/>
  <c r="I1922"/>
  <c r="H1922"/>
  <c r="G1922"/>
  <c r="F1922"/>
  <c r="E1922"/>
  <c r="D1922"/>
  <c r="C1922"/>
  <c r="B1922"/>
  <c r="K1921"/>
  <c r="J1921"/>
  <c r="I1921"/>
  <c r="H1921"/>
  <c r="G1921"/>
  <c r="F1921"/>
  <c r="E1921"/>
  <c r="D1921"/>
  <c r="C1921"/>
  <c r="B1917"/>
  <c r="B1918"/>
  <c r="B1919"/>
  <c r="B1920"/>
  <c r="B1921"/>
  <c r="K1920"/>
  <c r="J1920"/>
  <c r="I1920"/>
  <c r="H1920"/>
  <c r="G1920"/>
  <c r="F1920"/>
  <c r="E1920"/>
  <c r="D1920"/>
  <c r="C1920"/>
  <c r="K1919"/>
  <c r="J1919"/>
  <c r="I1919"/>
  <c r="H1919"/>
  <c r="G1919"/>
  <c r="F1919"/>
  <c r="E1919"/>
  <c r="D1919"/>
  <c r="C1919"/>
  <c r="K1918"/>
  <c r="J1918"/>
  <c r="I1918"/>
  <c r="H1918"/>
  <c r="G1918"/>
  <c r="F1918"/>
  <c r="E1918"/>
  <c r="D1918"/>
  <c r="C1918"/>
  <c r="K1917"/>
  <c r="J1917"/>
  <c r="I1917"/>
  <c r="H1917"/>
  <c r="G1917"/>
  <c r="F1917"/>
  <c r="E1917"/>
  <c r="D1917"/>
  <c r="C1917"/>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7"/>
  <c r="G1897"/>
  <c r="K1896"/>
  <c r="G1896"/>
  <c r="B1896"/>
  <c r="K1895"/>
  <c r="K1894"/>
  <c r="G1894"/>
  <c r="K1893"/>
  <c r="G1893"/>
  <c r="A1889"/>
  <c r="K1886"/>
  <c r="A1886"/>
  <c r="K1885"/>
  <c r="A1885"/>
  <c r="K1884"/>
  <c r="A1884"/>
  <c r="F1857"/>
  <c r="F1858"/>
  <c r="F1859"/>
  <c r="F1860"/>
  <c r="F1861"/>
  <c r="F1864"/>
  <c r="F1865"/>
  <c r="F1866"/>
  <c r="F1867"/>
  <c r="F1868"/>
  <c r="F1869"/>
  <c r="F1870"/>
  <c r="F1873"/>
  <c r="F1874"/>
  <c r="F1875"/>
  <c r="F1876"/>
  <c r="F1877"/>
  <c r="F1878"/>
  <c r="F1879"/>
  <c r="F1880"/>
  <c r="F1881"/>
  <c r="K1857"/>
  <c r="K1858"/>
  <c r="K1859"/>
  <c r="K1864"/>
  <c r="K1865"/>
  <c r="K1866"/>
  <c r="K1867"/>
  <c r="K1868"/>
  <c r="K1873"/>
  <c r="K1874"/>
  <c r="K1875"/>
  <c r="K1876"/>
  <c r="K1877"/>
  <c r="K1878"/>
  <c r="P1857"/>
  <c r="P1858"/>
  <c r="P1859"/>
  <c r="P1860"/>
  <c r="K10" i="36"/>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G102" i="36"/>
  <c r="B15" i="8"/>
  <c r="B16"/>
  <c r="G109" i="36"/>
  <c r="B17" i="8"/>
  <c r="B20"/>
  <c r="P1863" i="35"/>
  <c r="P1873"/>
  <c r="P1877"/>
  <c r="C1725"/>
  <c r="B1725"/>
  <c r="M1725"/>
  <c r="T1725"/>
  <c r="C1726"/>
  <c r="B1726"/>
  <c r="M1726"/>
  <c r="T1726"/>
  <c r="C1727"/>
  <c r="B1727"/>
  <c r="M1727"/>
  <c r="T1727"/>
  <c r="C1728"/>
  <c r="B1728"/>
  <c r="M1728"/>
  <c r="T1728"/>
  <c r="C1729"/>
  <c r="B1729"/>
  <c r="M1729"/>
  <c r="T1729"/>
  <c r="C1730"/>
  <c r="B1730"/>
  <c r="M1730"/>
  <c r="E1730"/>
  <c r="T1730"/>
  <c r="C1731"/>
  <c r="B1731"/>
  <c r="M1731"/>
  <c r="E1731"/>
  <c r="T1731"/>
  <c r="C1732"/>
  <c r="B1732"/>
  <c r="M1732"/>
  <c r="E1732"/>
  <c r="T1732"/>
  <c r="C1733"/>
  <c r="B1733"/>
  <c r="M1733"/>
  <c r="E1733"/>
  <c r="T1733"/>
  <c r="C1734"/>
  <c r="B1734"/>
  <c r="M1734"/>
  <c r="E1734"/>
  <c r="T1734"/>
  <c r="C1735"/>
  <c r="B1735"/>
  <c r="M1735"/>
  <c r="E1735"/>
  <c r="T1735"/>
  <c r="C1736"/>
  <c r="B1736"/>
  <c r="M1736"/>
  <c r="E1736"/>
  <c r="T1736"/>
  <c r="C1737"/>
  <c r="B1737"/>
  <c r="M1737"/>
  <c r="E1737"/>
  <c r="T1737"/>
  <c r="C1738"/>
  <c r="B1738"/>
  <c r="M1738"/>
  <c r="E1738"/>
  <c r="T1738"/>
  <c r="C1739"/>
  <c r="B1739"/>
  <c r="M1739"/>
  <c r="E1739"/>
  <c r="T1739"/>
  <c r="C1740"/>
  <c r="B1740"/>
  <c r="M1740"/>
  <c r="E1740"/>
  <c r="T1740"/>
  <c r="C1741"/>
  <c r="B1741"/>
  <c r="M1741"/>
  <c r="E1741"/>
  <c r="T1741"/>
  <c r="C1742"/>
  <c r="B1742"/>
  <c r="M1742"/>
  <c r="T1742"/>
  <c r="C1743"/>
  <c r="B1743"/>
  <c r="M1743"/>
  <c r="T1743"/>
  <c r="C1744"/>
  <c r="B1744"/>
  <c r="M1744"/>
  <c r="T1744"/>
  <c r="C1745"/>
  <c r="B1745"/>
  <c r="M1745"/>
  <c r="T1745"/>
  <c r="C1746"/>
  <c r="B1746"/>
  <c r="M1746"/>
  <c r="T1746"/>
  <c r="C1747"/>
  <c r="B1747"/>
  <c r="M1747"/>
  <c r="T1747"/>
  <c r="C1748"/>
  <c r="B1748"/>
  <c r="M1748"/>
  <c r="T1748"/>
  <c r="C1749"/>
  <c r="B1749"/>
  <c r="M1749"/>
  <c r="T1749"/>
  <c r="C1750"/>
  <c r="B1750"/>
  <c r="M1750"/>
  <c r="T1750"/>
  <c r="C1751"/>
  <c r="B1751"/>
  <c r="M1751"/>
  <c r="T1751"/>
  <c r="C1752"/>
  <c r="B1752"/>
  <c r="M1752"/>
  <c r="T1752"/>
  <c r="C1753"/>
  <c r="B1753"/>
  <c r="M1753"/>
  <c r="T1753"/>
  <c r="C1754"/>
  <c r="B1754"/>
  <c r="M1754"/>
  <c r="T1754"/>
  <c r="C1755"/>
  <c r="B1755"/>
  <c r="M1755"/>
  <c r="T1755"/>
  <c r="C1756"/>
  <c r="B1756"/>
  <c r="M1756"/>
  <c r="T1756"/>
  <c r="C1757"/>
  <c r="B1757"/>
  <c r="M1757"/>
  <c r="T1757"/>
  <c r="C1758"/>
  <c r="B1758"/>
  <c r="M1758"/>
  <c r="T1758"/>
  <c r="C1759"/>
  <c r="B1759"/>
  <c r="M1759"/>
  <c r="T1759"/>
  <c r="C1760"/>
  <c r="B1760"/>
  <c r="M1760"/>
  <c r="T1760"/>
  <c r="C1761"/>
  <c r="B1761"/>
  <c r="M1761"/>
  <c r="T1761"/>
  <c r="C1762"/>
  <c r="B1762"/>
  <c r="M1762"/>
  <c r="T1762"/>
  <c r="T1763"/>
  <c r="H1772"/>
  <c r="E1725"/>
  <c r="Y1725"/>
  <c r="E1726"/>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H1773"/>
  <c r="H1774"/>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H1776"/>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H1778"/>
  <c r="U1725"/>
  <c r="U1726"/>
  <c r="U1727"/>
  <c r="U1728"/>
  <c r="U1729"/>
  <c r="U1730"/>
  <c r="U1731"/>
  <c r="U1732"/>
  <c r="U1733"/>
  <c r="U1734"/>
  <c r="U1735"/>
  <c r="U1736"/>
  <c r="U1737"/>
  <c r="U1738"/>
  <c r="U1739"/>
  <c r="U1740"/>
  <c r="U1741"/>
  <c r="E1742"/>
  <c r="U1742"/>
  <c r="E1743"/>
  <c r="U1743"/>
  <c r="E1744"/>
  <c r="U1744"/>
  <c r="E1745"/>
  <c r="U1745"/>
  <c r="E1746"/>
  <c r="U1746"/>
  <c r="E1747"/>
  <c r="U1747"/>
  <c r="E1748"/>
  <c r="U1748"/>
  <c r="E1749"/>
  <c r="U1749"/>
  <c r="E1750"/>
  <c r="U1750"/>
  <c r="E1751"/>
  <c r="U1751"/>
  <c r="E1752"/>
  <c r="U1752"/>
  <c r="E1753"/>
  <c r="U1753"/>
  <c r="E1754"/>
  <c r="U1754"/>
  <c r="E1755"/>
  <c r="U1755"/>
  <c r="E1756"/>
  <c r="U1756"/>
  <c r="U1757"/>
  <c r="U1758"/>
  <c r="U1759"/>
  <c r="U1760"/>
  <c r="U1761"/>
  <c r="U1762"/>
  <c r="U1763"/>
  <c r="I1772"/>
  <c r="Z1725"/>
  <c r="Z1726"/>
  <c r="E1727"/>
  <c r="Z1727"/>
  <c r="E1728"/>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I1776"/>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E1762"/>
  <c r="BS1762"/>
  <c r="BS1763"/>
  <c r="I1777"/>
  <c r="I1778"/>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E1757"/>
  <c r="V1757"/>
  <c r="E1758"/>
  <c r="V1758"/>
  <c r="E1759"/>
  <c r="V1759"/>
  <c r="E1760"/>
  <c r="V1760"/>
  <c r="E1761"/>
  <c r="V1761"/>
  <c r="V1762"/>
  <c r="V1763"/>
  <c r="J1772"/>
  <c r="AA1725"/>
  <c r="AA1726"/>
  <c r="AA1727"/>
  <c r="AA1728"/>
  <c r="E1729"/>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J1776"/>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J1778"/>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K1776"/>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K1778"/>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L1774"/>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L1776"/>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L1778"/>
  <c r="M1778"/>
  <c r="P1876"/>
  <c r="P1881"/>
  <c r="B1880"/>
  <c r="I1877"/>
  <c r="J1875"/>
  <c r="J1874"/>
  <c r="N1873"/>
  <c r="J1873"/>
  <c r="B1869"/>
  <c r="I1867"/>
  <c r="N1865"/>
  <c r="N1864"/>
  <c r="B1860"/>
  <c r="N1859"/>
  <c r="P1849"/>
  <c r="P1850"/>
  <c r="P1851"/>
  <c r="P1852"/>
  <c r="O1849"/>
  <c r="O1850"/>
  <c r="O1851"/>
  <c r="O1852"/>
  <c r="N1849"/>
  <c r="N1850"/>
  <c r="N1851"/>
  <c r="N1852"/>
  <c r="M1849"/>
  <c r="M1850"/>
  <c r="M1851"/>
  <c r="M1852"/>
  <c r="L1849"/>
  <c r="L1850"/>
  <c r="L1851"/>
  <c r="L1852"/>
  <c r="K1849"/>
  <c r="K1850"/>
  <c r="K1851"/>
  <c r="K1852"/>
  <c r="J1849"/>
  <c r="J1850"/>
  <c r="J1851"/>
  <c r="J1852"/>
  <c r="I1849"/>
  <c r="I1850"/>
  <c r="I1851"/>
  <c r="I1852"/>
  <c r="H1849"/>
  <c r="H1850"/>
  <c r="H1851"/>
  <c r="H1852"/>
  <c r="G1849"/>
  <c r="G1850"/>
  <c r="G1851"/>
  <c r="G1852"/>
  <c r="C1851"/>
  <c r="P1844"/>
  <c r="P1845"/>
  <c r="P1846"/>
  <c r="O1844"/>
  <c r="O1845"/>
  <c r="O1846"/>
  <c r="N1844"/>
  <c r="N1845"/>
  <c r="N1846"/>
  <c r="M1844"/>
  <c r="M1845"/>
  <c r="M1846"/>
  <c r="L1844"/>
  <c r="L1845"/>
  <c r="L1846"/>
  <c r="K1844"/>
  <c r="K1845"/>
  <c r="K1846"/>
  <c r="J1844"/>
  <c r="J1845"/>
  <c r="J1846"/>
  <c r="I1844"/>
  <c r="I1845"/>
  <c r="I1846"/>
  <c r="H1844"/>
  <c r="H1845"/>
  <c r="H1846"/>
  <c r="G1844"/>
  <c r="G1845"/>
  <c r="G1846"/>
  <c r="C1845"/>
  <c r="P1838"/>
  <c r="P1839"/>
  <c r="P1840"/>
  <c r="P1841"/>
  <c r="O1838"/>
  <c r="O1839"/>
  <c r="O1840"/>
  <c r="O1841"/>
  <c r="N1838"/>
  <c r="N1839"/>
  <c r="N1840"/>
  <c r="N1841"/>
  <c r="M1838"/>
  <c r="M1839"/>
  <c r="M1840"/>
  <c r="M1841"/>
  <c r="L1838"/>
  <c r="L1839"/>
  <c r="L1840"/>
  <c r="L1841"/>
  <c r="K1838"/>
  <c r="K1839"/>
  <c r="K1840"/>
  <c r="K1841"/>
  <c r="J1838"/>
  <c r="J1839"/>
  <c r="J1840"/>
  <c r="J1841"/>
  <c r="I1838"/>
  <c r="I1839"/>
  <c r="I1840"/>
  <c r="I1841"/>
  <c r="H1838"/>
  <c r="H1839"/>
  <c r="H1840"/>
  <c r="H1841"/>
  <c r="G1838"/>
  <c r="G1839"/>
  <c r="G1840"/>
  <c r="G1841"/>
  <c r="C1840"/>
  <c r="P1833"/>
  <c r="P1834"/>
  <c r="P1835"/>
  <c r="O1833"/>
  <c r="O1834"/>
  <c r="O1835"/>
  <c r="N1833"/>
  <c r="N1834"/>
  <c r="N1835"/>
  <c r="M1833"/>
  <c r="M1834"/>
  <c r="M1835"/>
  <c r="L1833"/>
  <c r="L1834"/>
  <c r="L1835"/>
  <c r="K1833"/>
  <c r="K1834"/>
  <c r="K1835"/>
  <c r="J1833"/>
  <c r="J1834"/>
  <c r="J1835"/>
  <c r="I1833"/>
  <c r="I1834"/>
  <c r="I1835"/>
  <c r="H1833"/>
  <c r="H1834"/>
  <c r="H1835"/>
  <c r="G1833"/>
  <c r="G1834"/>
  <c r="G1835"/>
  <c r="C1834"/>
  <c r="P1827"/>
  <c r="P1828"/>
  <c r="P1829"/>
  <c r="P1830"/>
  <c r="O1827"/>
  <c r="O1828"/>
  <c r="O1829"/>
  <c r="O1830"/>
  <c r="N1827"/>
  <c r="N1828"/>
  <c r="N1829"/>
  <c r="N1830"/>
  <c r="M1827"/>
  <c r="M1828"/>
  <c r="M1829"/>
  <c r="M1830"/>
  <c r="L1827"/>
  <c r="L1828"/>
  <c r="L1829"/>
  <c r="L1830"/>
  <c r="K1827"/>
  <c r="K1828"/>
  <c r="K1829"/>
  <c r="K1830"/>
  <c r="J1827"/>
  <c r="J1828"/>
  <c r="J1829"/>
  <c r="J1830"/>
  <c r="I1827"/>
  <c r="I1828"/>
  <c r="I1829"/>
  <c r="I1830"/>
  <c r="H1827"/>
  <c r="H1828"/>
  <c r="H1829"/>
  <c r="H1830"/>
  <c r="G1827"/>
  <c r="G1828"/>
  <c r="G1829"/>
  <c r="G1830"/>
  <c r="C1829"/>
  <c r="P1822"/>
  <c r="P1823"/>
  <c r="P1824"/>
  <c r="O1822"/>
  <c r="O1823"/>
  <c r="O1824"/>
  <c r="N1822"/>
  <c r="N1823"/>
  <c r="N1824"/>
  <c r="M1822"/>
  <c r="M1823"/>
  <c r="M1824"/>
  <c r="L1822"/>
  <c r="L1823"/>
  <c r="L1824"/>
  <c r="K1822"/>
  <c r="K1823"/>
  <c r="K1824"/>
  <c r="J1822"/>
  <c r="J1823"/>
  <c r="J1824"/>
  <c r="I1822"/>
  <c r="I1823"/>
  <c r="I1824"/>
  <c r="H1822"/>
  <c r="H1823"/>
  <c r="H1824"/>
  <c r="G1822"/>
  <c r="G1823"/>
  <c r="G1824"/>
  <c r="C1823"/>
  <c r="H1725"/>
  <c r="I1725"/>
  <c r="K1725"/>
  <c r="L1725"/>
  <c r="H1726"/>
  <c r="I1726"/>
  <c r="K1726"/>
  <c r="L1726"/>
  <c r="H1727"/>
  <c r="I1727"/>
  <c r="K1727"/>
  <c r="L1727"/>
  <c r="H1728"/>
  <c r="I1728"/>
  <c r="K1728"/>
  <c r="L1728"/>
  <c r="H1729"/>
  <c r="I1729"/>
  <c r="K1729"/>
  <c r="L1729"/>
  <c r="H1730"/>
  <c r="I1730"/>
  <c r="K1730"/>
  <c r="L1730"/>
  <c r="H1731"/>
  <c r="I1731"/>
  <c r="K1731"/>
  <c r="L1731"/>
  <c r="H1732"/>
  <c r="I1732"/>
  <c r="K1732"/>
  <c r="L1732"/>
  <c r="H1733"/>
  <c r="I1733"/>
  <c r="K1733"/>
  <c r="L1733"/>
  <c r="H1734"/>
  <c r="I1734"/>
  <c r="K1734"/>
  <c r="L1734"/>
  <c r="H1735"/>
  <c r="I1735"/>
  <c r="K1735"/>
  <c r="L1735"/>
  <c r="H1736"/>
  <c r="I1736"/>
  <c r="K1736"/>
  <c r="L1736"/>
  <c r="H1737"/>
  <c r="I1737"/>
  <c r="K1737"/>
  <c r="L1737"/>
  <c r="H1738"/>
  <c r="I1738"/>
  <c r="K1738"/>
  <c r="L1738"/>
  <c r="H1739"/>
  <c r="I1739"/>
  <c r="K1739"/>
  <c r="L1739"/>
  <c r="H1740"/>
  <c r="I1740"/>
  <c r="K1740"/>
  <c r="L1740"/>
  <c r="H1741"/>
  <c r="I1741"/>
  <c r="K1741"/>
  <c r="L1741"/>
  <c r="H1742"/>
  <c r="I1742"/>
  <c r="K1742"/>
  <c r="L1742"/>
  <c r="H1743"/>
  <c r="I1743"/>
  <c r="K1743"/>
  <c r="L1743"/>
  <c r="H1744"/>
  <c r="I1744"/>
  <c r="K1744"/>
  <c r="L1744"/>
  <c r="H1745"/>
  <c r="I1745"/>
  <c r="K1745"/>
  <c r="L1745"/>
  <c r="H1746"/>
  <c r="I1746"/>
  <c r="K1746"/>
  <c r="L1746"/>
  <c r="H1747"/>
  <c r="I1747"/>
  <c r="K1747"/>
  <c r="L1747"/>
  <c r="H1748"/>
  <c r="I1748"/>
  <c r="K1748"/>
  <c r="L1748"/>
  <c r="H1749"/>
  <c r="I1749"/>
  <c r="K1749"/>
  <c r="L1749"/>
  <c r="H1750"/>
  <c r="I1750"/>
  <c r="K1750"/>
  <c r="L1750"/>
  <c r="H1751"/>
  <c r="I1751"/>
  <c r="K1751"/>
  <c r="L1751"/>
  <c r="H1752"/>
  <c r="I1752"/>
  <c r="K1752"/>
  <c r="L1752"/>
  <c r="H1753"/>
  <c r="I1753"/>
  <c r="K1753"/>
  <c r="L1753"/>
  <c r="H1754"/>
  <c r="I1754"/>
  <c r="K1754"/>
  <c r="L1754"/>
  <c r="H1755"/>
  <c r="I1755"/>
  <c r="K1755"/>
  <c r="L1755"/>
  <c r="H1756"/>
  <c r="I1756"/>
  <c r="K1756"/>
  <c r="L1756"/>
  <c r="H1757"/>
  <c r="I1757"/>
  <c r="K1757"/>
  <c r="L1757"/>
  <c r="H1758"/>
  <c r="I1758"/>
  <c r="K1758"/>
  <c r="L1758"/>
  <c r="H1759"/>
  <c r="I1759"/>
  <c r="K1759"/>
  <c r="L1759"/>
  <c r="H1760"/>
  <c r="I1760"/>
  <c r="K1760"/>
  <c r="L1760"/>
  <c r="H1761"/>
  <c r="I1761"/>
  <c r="K1761"/>
  <c r="L1761"/>
  <c r="H1762"/>
  <c r="I1762"/>
  <c r="K1762"/>
  <c r="L1762"/>
  <c r="L1763"/>
  <c r="L1764"/>
  <c r="G1817"/>
  <c r="BW1725"/>
  <c r="BW1726"/>
  <c r="BW1727"/>
  <c r="BW1728"/>
  <c r="BW1729"/>
  <c r="F1730"/>
  <c r="BW1730"/>
  <c r="F1731"/>
  <c r="BW1731"/>
  <c r="F1732"/>
  <c r="BW1732"/>
  <c r="F1733"/>
  <c r="BW1733"/>
  <c r="F1734"/>
  <c r="BW1734"/>
  <c r="F1735"/>
  <c r="BW1735"/>
  <c r="F1736"/>
  <c r="BW1736"/>
  <c r="F1737"/>
  <c r="BW1737"/>
  <c r="F1738"/>
  <c r="BW1738"/>
  <c r="F1739"/>
  <c r="BW1739"/>
  <c r="F1740"/>
  <c r="BW1740"/>
  <c r="F1741"/>
  <c r="BW1741"/>
  <c r="BW1742"/>
  <c r="BW1743"/>
  <c r="BW1744"/>
  <c r="BW1745"/>
  <c r="BW1746"/>
  <c r="BW1747"/>
  <c r="BW1748"/>
  <c r="BW1749"/>
  <c r="BW1750"/>
  <c r="BW1751"/>
  <c r="BW1752"/>
  <c r="BW1753"/>
  <c r="BW1754"/>
  <c r="BW1755"/>
  <c r="BW1756"/>
  <c r="BW1757"/>
  <c r="BW1758"/>
  <c r="BW1759"/>
  <c r="BW1760"/>
  <c r="BW1761"/>
  <c r="BW1762"/>
  <c r="BW1763"/>
  <c r="Y1807"/>
  <c r="F1725"/>
  <c r="CB1725"/>
  <c r="F1726"/>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Y1809"/>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Y1811"/>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Y1813"/>
  <c r="BX1725"/>
  <c r="BX1726"/>
  <c r="BX1727"/>
  <c r="BX1728"/>
  <c r="BX1729"/>
  <c r="BX1730"/>
  <c r="BX1731"/>
  <c r="BX1732"/>
  <c r="BX1733"/>
  <c r="BX1734"/>
  <c r="BX1735"/>
  <c r="BX1736"/>
  <c r="BX1737"/>
  <c r="BX1738"/>
  <c r="BX1739"/>
  <c r="BX1740"/>
  <c r="BX1741"/>
  <c r="F1742"/>
  <c r="BX1742"/>
  <c r="F1743"/>
  <c r="BX1743"/>
  <c r="F1744"/>
  <c r="BX1744"/>
  <c r="F1745"/>
  <c r="BX1745"/>
  <c r="F1746"/>
  <c r="BX1746"/>
  <c r="F1747"/>
  <c r="BX1747"/>
  <c r="F1748"/>
  <c r="BX1748"/>
  <c r="F1749"/>
  <c r="BX1749"/>
  <c r="F1750"/>
  <c r="BX1750"/>
  <c r="F1751"/>
  <c r="BX1751"/>
  <c r="F1752"/>
  <c r="BX1752"/>
  <c r="F1753"/>
  <c r="BX1753"/>
  <c r="F1754"/>
  <c r="BX1754"/>
  <c r="F1755"/>
  <c r="BX1755"/>
  <c r="F1756"/>
  <c r="BX1756"/>
  <c r="BX1757"/>
  <c r="BX1758"/>
  <c r="BX1759"/>
  <c r="BX1760"/>
  <c r="BX1761"/>
  <c r="BX1762"/>
  <c r="BX1763"/>
  <c r="Z1807"/>
  <c r="CC1725"/>
  <c r="CC1726"/>
  <c r="F1727"/>
  <c r="CC1727"/>
  <c r="F1728"/>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Z1809"/>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Z181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F1762"/>
  <c r="CW1762"/>
  <c r="CW1763"/>
  <c r="Z1812"/>
  <c r="Z181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F1757"/>
  <c r="BY1757"/>
  <c r="F1758"/>
  <c r="BY1758"/>
  <c r="F1759"/>
  <c r="BY1759"/>
  <c r="F1760"/>
  <c r="BY1760"/>
  <c r="F1761"/>
  <c r="BY1761"/>
  <c r="BY1762"/>
  <c r="BY1763"/>
  <c r="AA1807"/>
  <c r="CD1725"/>
  <c r="CD1726"/>
  <c r="CD1727"/>
  <c r="CD1728"/>
  <c r="F1729"/>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AA1809"/>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AA1810"/>
  <c r="AA1811"/>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AA1813"/>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AB1807"/>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AB1808"/>
  <c r="AB1809"/>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AB1811"/>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AB181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AC1809"/>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AC1811"/>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AC1813"/>
  <c r="AD1813"/>
  <c r="H1807"/>
  <c r="H1808"/>
  <c r="H1809"/>
  <c r="H1810"/>
  <c r="H1811"/>
  <c r="H1812"/>
  <c r="H1813"/>
  <c r="I1807"/>
  <c r="I1808"/>
  <c r="I1809"/>
  <c r="I1810"/>
  <c r="I1811"/>
  <c r="I1812"/>
  <c r="I1813"/>
  <c r="J1807"/>
  <c r="J1808"/>
  <c r="J1809"/>
  <c r="J1810"/>
  <c r="J1811"/>
  <c r="J1812"/>
  <c r="J1813"/>
  <c r="K1807"/>
  <c r="K1808"/>
  <c r="K1809"/>
  <c r="K1810"/>
  <c r="K1811"/>
  <c r="K1812"/>
  <c r="K1813"/>
  <c r="L1807"/>
  <c r="L1808"/>
  <c r="L1809"/>
  <c r="L1810"/>
  <c r="L1811"/>
  <c r="L1812"/>
  <c r="L1813"/>
  <c r="M1813"/>
  <c r="Q1813"/>
  <c r="AD1812"/>
  <c r="M1812"/>
  <c r="Q1812"/>
  <c r="AD1811"/>
  <c r="M1811"/>
  <c r="Q1811"/>
  <c r="AD1810"/>
  <c r="M1810"/>
  <c r="Q1810"/>
  <c r="AD1809"/>
  <c r="M1809"/>
  <c r="Q1809"/>
  <c r="AD1808"/>
  <c r="M1808"/>
  <c r="Q1808"/>
  <c r="AD1807"/>
  <c r="M1807"/>
  <c r="Q1807"/>
  <c r="N1725"/>
  <c r="FD1725"/>
  <c r="N1726"/>
  <c r="FD1726"/>
  <c r="N1727"/>
  <c r="FD1727"/>
  <c r="N1728"/>
  <c r="FD1728"/>
  <c r="N1729"/>
  <c r="FD1729"/>
  <c r="N1730"/>
  <c r="FD1730"/>
  <c r="N1731"/>
  <c r="FD1731"/>
  <c r="N1732"/>
  <c r="FD1732"/>
  <c r="N1733"/>
  <c r="FD1733"/>
  <c r="N1734"/>
  <c r="FD1734"/>
  <c r="N1735"/>
  <c r="FD1735"/>
  <c r="N1736"/>
  <c r="FD1736"/>
  <c r="N1737"/>
  <c r="FD1737"/>
  <c r="N1738"/>
  <c r="FD1738"/>
  <c r="N1739"/>
  <c r="FD1739"/>
  <c r="N1740"/>
  <c r="FD1740"/>
  <c r="N1741"/>
  <c r="FD1741"/>
  <c r="N1742"/>
  <c r="FD1742"/>
  <c r="N1743"/>
  <c r="FD1743"/>
  <c r="N1744"/>
  <c r="FD1744"/>
  <c r="N1745"/>
  <c r="FD1745"/>
  <c r="N1746"/>
  <c r="FD1746"/>
  <c r="N1747"/>
  <c r="FD1747"/>
  <c r="N1748"/>
  <c r="FD1748"/>
  <c r="N1749"/>
  <c r="FD1749"/>
  <c r="N1750"/>
  <c r="FD1750"/>
  <c r="N1751"/>
  <c r="FD1751"/>
  <c r="N1752"/>
  <c r="FD1752"/>
  <c r="N1753"/>
  <c r="FD1753"/>
  <c r="N1754"/>
  <c r="FD1754"/>
  <c r="N1755"/>
  <c r="FD1755"/>
  <c r="N1756"/>
  <c r="FD1756"/>
  <c r="N1757"/>
  <c r="FD1757"/>
  <c r="N1758"/>
  <c r="FD1758"/>
  <c r="N1759"/>
  <c r="FD1759"/>
  <c r="N1760"/>
  <c r="FD1760"/>
  <c r="N1761"/>
  <c r="FD1761"/>
  <c r="N1762"/>
  <c r="FD1762"/>
  <c r="FD1763"/>
  <c r="Y1804"/>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Z1804"/>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AA1804"/>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AB1804"/>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AC1804"/>
  <c r="AD1804"/>
  <c r="H1804"/>
  <c r="I1804"/>
  <c r="J1804"/>
  <c r="K1804"/>
  <c r="L1804"/>
  <c r="M1804"/>
  <c r="Q1804"/>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Y180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Z180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AA180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AB180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AD1803"/>
  <c r="H1803"/>
  <c r="I1803"/>
  <c r="J1803"/>
  <c r="K1803"/>
  <c r="L1803"/>
  <c r="M1803"/>
  <c r="Q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AD1802"/>
  <c r="H1802"/>
  <c r="I1802"/>
  <c r="J1802"/>
  <c r="K1802"/>
  <c r="L1802"/>
  <c r="M1802"/>
  <c r="Q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AD1801"/>
  <c r="H1801"/>
  <c r="I1801"/>
  <c r="J1801"/>
  <c r="K1801"/>
  <c r="L1801"/>
  <c r="M1801"/>
  <c r="Q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AD1800"/>
  <c r="H1800"/>
  <c r="I1800"/>
  <c r="J1800"/>
  <c r="K1800"/>
  <c r="L1800"/>
  <c r="M1800"/>
  <c r="Q1800"/>
  <c r="H1798"/>
  <c r="I1798"/>
  <c r="J1798"/>
  <c r="K1798"/>
  <c r="L1798"/>
  <c r="M1798"/>
  <c r="H1797"/>
  <c r="I1797"/>
  <c r="J1797"/>
  <c r="K1797"/>
  <c r="L1797"/>
  <c r="M1797"/>
  <c r="O1725"/>
  <c r="EE1725"/>
  <c r="O1726"/>
  <c r="EE1726"/>
  <c r="O1727"/>
  <c r="EE1727"/>
  <c r="O1728"/>
  <c r="EE1728"/>
  <c r="O1729"/>
  <c r="EE1729"/>
  <c r="O1730"/>
  <c r="EE1730"/>
  <c r="O1731"/>
  <c r="EE1731"/>
  <c r="O1732"/>
  <c r="EE1732"/>
  <c r="O1733"/>
  <c r="EE1733"/>
  <c r="O1734"/>
  <c r="EE1734"/>
  <c r="O1735"/>
  <c r="EE1735"/>
  <c r="O1736"/>
  <c r="EE1736"/>
  <c r="O1737"/>
  <c r="EE1737"/>
  <c r="O1738"/>
  <c r="EE1738"/>
  <c r="O1739"/>
  <c r="EE1739"/>
  <c r="O1740"/>
  <c r="EE1740"/>
  <c r="O1741"/>
  <c r="EE1741"/>
  <c r="O1742"/>
  <c r="EE1742"/>
  <c r="O1743"/>
  <c r="EE1743"/>
  <c r="O1744"/>
  <c r="EE1744"/>
  <c r="O1745"/>
  <c r="EE1745"/>
  <c r="O1746"/>
  <c r="EE1746"/>
  <c r="O1747"/>
  <c r="EE1747"/>
  <c r="O1748"/>
  <c r="EE1748"/>
  <c r="O1749"/>
  <c r="EE1749"/>
  <c r="O1750"/>
  <c r="EE1750"/>
  <c r="O1751"/>
  <c r="EE1751"/>
  <c r="O1752"/>
  <c r="EE1752"/>
  <c r="O1753"/>
  <c r="EE1753"/>
  <c r="O1754"/>
  <c r="EE1754"/>
  <c r="O1755"/>
  <c r="EE1755"/>
  <c r="O1756"/>
  <c r="EE1756"/>
  <c r="O1757"/>
  <c r="EE1757"/>
  <c r="O1758"/>
  <c r="EE1758"/>
  <c r="O1759"/>
  <c r="EE1759"/>
  <c r="O1760"/>
  <c r="EE1760"/>
  <c r="O1761"/>
  <c r="EE1761"/>
  <c r="O1762"/>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Z1796"/>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AB1796"/>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AD1796"/>
  <c r="H1794"/>
  <c r="H1795"/>
  <c r="H1796"/>
  <c r="I1794"/>
  <c r="I1795"/>
  <c r="I1796"/>
  <c r="J1794"/>
  <c r="J1795"/>
  <c r="J1796"/>
  <c r="K1794"/>
  <c r="K1795"/>
  <c r="K1796"/>
  <c r="L1794"/>
  <c r="L1795"/>
  <c r="L1796"/>
  <c r="M1796"/>
  <c r="Q1796"/>
  <c r="AD1795"/>
  <c r="M1795"/>
  <c r="Q1795"/>
  <c r="AD1794"/>
  <c r="M1794"/>
  <c r="Q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Z179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AB179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AD1793"/>
  <c r="H1791"/>
  <c r="H1792"/>
  <c r="H1793"/>
  <c r="I1791"/>
  <c r="I1792"/>
  <c r="I1793"/>
  <c r="J1791"/>
  <c r="J1792"/>
  <c r="J1793"/>
  <c r="K1791"/>
  <c r="K1792"/>
  <c r="K1793"/>
  <c r="L1791"/>
  <c r="L1792"/>
  <c r="L1793"/>
  <c r="M1793"/>
  <c r="Q1793"/>
  <c r="AD1792"/>
  <c r="M1792"/>
  <c r="Q1792"/>
  <c r="AD1791"/>
  <c r="M1791"/>
  <c r="Q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Z1790"/>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AB1790"/>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AD1790"/>
  <c r="H1788"/>
  <c r="H1789"/>
  <c r="H1790"/>
  <c r="I1788"/>
  <c r="I1789"/>
  <c r="I1790"/>
  <c r="J1788"/>
  <c r="J1789"/>
  <c r="J1790"/>
  <c r="K1788"/>
  <c r="K1789"/>
  <c r="K1790"/>
  <c r="L1788"/>
  <c r="L1789"/>
  <c r="L1790"/>
  <c r="M1790"/>
  <c r="Q1790"/>
  <c r="AD1789"/>
  <c r="M1789"/>
  <c r="Q1789"/>
  <c r="AD1788"/>
  <c r="M1788"/>
  <c r="Q1788"/>
  <c r="J1725"/>
  <c r="BM1725"/>
  <c r="J1726"/>
  <c r="BM1726"/>
  <c r="J1727"/>
  <c r="BM1727"/>
  <c r="J1728"/>
  <c r="BM1728"/>
  <c r="J1729"/>
  <c r="BM1729"/>
  <c r="J1730"/>
  <c r="BM1730"/>
  <c r="J1731"/>
  <c r="BM1731"/>
  <c r="J1732"/>
  <c r="BM1732"/>
  <c r="J1733"/>
  <c r="BM1733"/>
  <c r="J1734"/>
  <c r="BM1734"/>
  <c r="J1735"/>
  <c r="BM1735"/>
  <c r="J1736"/>
  <c r="BM1736"/>
  <c r="J1737"/>
  <c r="BM1737"/>
  <c r="J1738"/>
  <c r="BM1738"/>
  <c r="J1739"/>
  <c r="BM1739"/>
  <c r="J1740"/>
  <c r="BM1740"/>
  <c r="J1741"/>
  <c r="BM1741"/>
  <c r="J1742"/>
  <c r="BM1742"/>
  <c r="J1743"/>
  <c r="BM1743"/>
  <c r="J1744"/>
  <c r="BM1744"/>
  <c r="J1745"/>
  <c r="BM1745"/>
  <c r="J1746"/>
  <c r="BM1746"/>
  <c r="J1747"/>
  <c r="BM1747"/>
  <c r="J1748"/>
  <c r="BM1748"/>
  <c r="J1749"/>
  <c r="BM1749"/>
  <c r="J1750"/>
  <c r="BM1750"/>
  <c r="J1751"/>
  <c r="BM1751"/>
  <c r="J1752"/>
  <c r="BM1752"/>
  <c r="J1753"/>
  <c r="BM1753"/>
  <c r="J1754"/>
  <c r="BM1754"/>
  <c r="J1755"/>
  <c r="BM1755"/>
  <c r="J1756"/>
  <c r="BM1756"/>
  <c r="J1757"/>
  <c r="BM1757"/>
  <c r="J1758"/>
  <c r="BM1758"/>
  <c r="J1759"/>
  <c r="BM1759"/>
  <c r="J1760"/>
  <c r="BM1760"/>
  <c r="J1761"/>
  <c r="BM1761"/>
  <c r="J1762"/>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Z1786"/>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AB1786"/>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AD1786"/>
  <c r="H1784"/>
  <c r="H1785"/>
  <c r="H1786"/>
  <c r="I1784"/>
  <c r="I1785"/>
  <c r="I1786"/>
  <c r="J1784"/>
  <c r="J1785"/>
  <c r="J1786"/>
  <c r="K1784"/>
  <c r="K1785"/>
  <c r="K1786"/>
  <c r="L1784"/>
  <c r="L1785"/>
  <c r="L1786"/>
  <c r="M1786"/>
  <c r="Q1786"/>
  <c r="AD1785"/>
  <c r="M1785"/>
  <c r="Q1785"/>
  <c r="AD1784"/>
  <c r="M1784"/>
  <c r="Q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Y1780"/>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Y1781"/>
  <c r="Y178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Z178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A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AA1781"/>
  <c r="AA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AB178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C1780"/>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c r="AC1782"/>
  <c r="AD1782"/>
  <c r="H1780"/>
  <c r="H1781"/>
  <c r="H1782"/>
  <c r="I1780"/>
  <c r="I1781"/>
  <c r="I1782"/>
  <c r="J1780"/>
  <c r="J1781"/>
  <c r="J1782"/>
  <c r="K1780"/>
  <c r="K1781"/>
  <c r="K1782"/>
  <c r="L1780"/>
  <c r="L1781"/>
  <c r="L1782"/>
  <c r="M1782"/>
  <c r="Q1782"/>
  <c r="AD1781"/>
  <c r="M1781"/>
  <c r="Q1781"/>
  <c r="AD1780"/>
  <c r="M1780"/>
  <c r="Q1780"/>
  <c r="Y1772"/>
  <c r="Y1773"/>
  <c r="Y1774"/>
  <c r="Y1775"/>
  <c r="Y1776"/>
  <c r="Y1777"/>
  <c r="Y1778"/>
  <c r="Z1772"/>
  <c r="Z1773"/>
  <c r="Z1774"/>
  <c r="Z1775"/>
  <c r="Z1776"/>
  <c r="Z1777"/>
  <c r="Z1778"/>
  <c r="AA1772"/>
  <c r="AA1773"/>
  <c r="AA1774"/>
  <c r="AA1775"/>
  <c r="AA1776"/>
  <c r="AA1777"/>
  <c r="AA1778"/>
  <c r="AB1772"/>
  <c r="AB1773"/>
  <c r="AB1774"/>
  <c r="AB1775"/>
  <c r="AB1776"/>
  <c r="AB1777"/>
  <c r="AB1778"/>
  <c r="AC1772"/>
  <c r="AC1773"/>
  <c r="AC1774"/>
  <c r="AC1775"/>
  <c r="AC1776"/>
  <c r="AC1777"/>
  <c r="AC1778"/>
  <c r="AD1778"/>
  <c r="Q1778"/>
  <c r="AD1777"/>
  <c r="M1777"/>
  <c r="Q1777"/>
  <c r="AD1776"/>
  <c r="M1776"/>
  <c r="Q1776"/>
  <c r="AD1775"/>
  <c r="M1775"/>
  <c r="Q1775"/>
  <c r="AD1774"/>
  <c r="M1774"/>
  <c r="Q1774"/>
  <c r="AD1773"/>
  <c r="M1773"/>
  <c r="Q1773"/>
  <c r="AD1772"/>
  <c r="M1772"/>
  <c r="Q1772"/>
  <c r="Q1769"/>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D1725"/>
  <c r="G1725"/>
  <c r="A1725"/>
  <c r="D1726"/>
  <c r="G1726"/>
  <c r="A1726"/>
  <c r="D1727"/>
  <c r="G1727"/>
  <c r="A1727"/>
  <c r="D1728"/>
  <c r="G1728"/>
  <c r="A1728"/>
  <c r="D1729"/>
  <c r="G1729"/>
  <c r="A1729"/>
  <c r="D1730"/>
  <c r="G1730"/>
  <c r="A1730"/>
  <c r="D1731"/>
  <c r="G1731"/>
  <c r="A1731"/>
  <c r="D1732"/>
  <c r="G1732"/>
  <c r="A1732"/>
  <c r="D1733"/>
  <c r="G1733"/>
  <c r="A1733"/>
  <c r="D1734"/>
  <c r="G1734"/>
  <c r="A1734"/>
  <c r="D1735"/>
  <c r="G1735"/>
  <c r="A1735"/>
  <c r="D1736"/>
  <c r="G1736"/>
  <c r="A1736"/>
  <c r="D1737"/>
  <c r="G1737"/>
  <c r="A1737"/>
  <c r="D1738"/>
  <c r="G1738"/>
  <c r="A1738"/>
  <c r="D1739"/>
  <c r="G1739"/>
  <c r="A1739"/>
  <c r="D1740"/>
  <c r="G1740"/>
  <c r="A1740"/>
  <c r="D1741"/>
  <c r="G1741"/>
  <c r="A1741"/>
  <c r="D1742"/>
  <c r="G1742"/>
  <c r="A1742"/>
  <c r="D1743"/>
  <c r="G1743"/>
  <c r="A1743"/>
  <c r="D1744"/>
  <c r="G1744"/>
  <c r="A1744"/>
  <c r="D1745"/>
  <c r="G1745"/>
  <c r="A1745"/>
  <c r="D1746"/>
  <c r="G1746"/>
  <c r="A1746"/>
  <c r="D1747"/>
  <c r="G1747"/>
  <c r="A1747"/>
  <c r="D1748"/>
  <c r="G1748"/>
  <c r="A1748"/>
  <c r="D1749"/>
  <c r="G1749"/>
  <c r="A1749"/>
  <c r="D1750"/>
  <c r="G1750"/>
  <c r="A1750"/>
  <c r="D1751"/>
  <c r="G1751"/>
  <c r="A1751"/>
  <c r="D1752"/>
  <c r="G1752"/>
  <c r="A1752"/>
  <c r="D1753"/>
  <c r="G1753"/>
  <c r="A1753"/>
  <c r="D1754"/>
  <c r="G1754"/>
  <c r="A1754"/>
  <c r="A1763"/>
  <c r="P47" i="36"/>
  <c r="Q47"/>
  <c r="Q1762" i="35"/>
  <c r="P1762"/>
  <c r="G1762"/>
  <c r="D1762"/>
  <c r="A1762"/>
  <c r="P1761"/>
  <c r="G1761"/>
  <c r="D1761"/>
  <c r="A1761"/>
  <c r="P45" i="36"/>
  <c r="Q45"/>
  <c r="Q1760" i="35"/>
  <c r="P1760"/>
  <c r="G1760"/>
  <c r="D1760"/>
  <c r="A1760"/>
  <c r="P44" i="36"/>
  <c r="Q44"/>
  <c r="Q1759" i="35"/>
  <c r="P1759"/>
  <c r="G1759"/>
  <c r="D1759"/>
  <c r="A1759"/>
  <c r="P43" i="36"/>
  <c r="Q43"/>
  <c r="Q1758" i="35"/>
  <c r="P1758"/>
  <c r="G1758"/>
  <c r="D1758"/>
  <c r="A1758"/>
  <c r="P42" i="36"/>
  <c r="Q42"/>
  <c r="Q1757" i="35"/>
  <c r="P1757"/>
  <c r="G1757"/>
  <c r="D1757"/>
  <c r="A1757"/>
  <c r="P41" i="36"/>
  <c r="Q41"/>
  <c r="Q1756" i="35"/>
  <c r="P1756"/>
  <c r="G1756"/>
  <c r="D1756"/>
  <c r="A1756"/>
  <c r="P40" i="36"/>
  <c r="Q40"/>
  <c r="Q1755" i="35"/>
  <c r="P1755"/>
  <c r="G1755"/>
  <c r="D1755"/>
  <c r="A1755"/>
  <c r="P39" i="36"/>
  <c r="Q39"/>
  <c r="Q1754" i="35"/>
  <c r="P1754"/>
  <c r="P38" i="36"/>
  <c r="Q38"/>
  <c r="Q1753" i="35"/>
  <c r="P1753"/>
  <c r="P37" i="36"/>
  <c r="Q37"/>
  <c r="Q1752" i="35"/>
  <c r="P1752"/>
  <c r="P36" i="36"/>
  <c r="Q36"/>
  <c r="Q1751" i="35"/>
  <c r="P1751"/>
  <c r="P35" i="36"/>
  <c r="Q35"/>
  <c r="Q1750" i="35"/>
  <c r="P1750"/>
  <c r="P34" i="36"/>
  <c r="Q34"/>
  <c r="Q1749" i="35"/>
  <c r="P1749"/>
  <c r="P33" i="36"/>
  <c r="Q33"/>
  <c r="Q1748" i="35"/>
  <c r="P1748"/>
  <c r="P32" i="36"/>
  <c r="Q32"/>
  <c r="Q1747" i="35"/>
  <c r="P1747"/>
  <c r="P31" i="36"/>
  <c r="Q31"/>
  <c r="Q1746" i="35"/>
  <c r="P1746"/>
  <c r="P30" i="36"/>
  <c r="Q30"/>
  <c r="Q1745" i="35"/>
  <c r="P1745"/>
  <c r="P29" i="36"/>
  <c r="Q29"/>
  <c r="Q1744" i="35"/>
  <c r="P1744"/>
  <c r="P28" i="36"/>
  <c r="Q28"/>
  <c r="Q1743" i="35"/>
  <c r="P1743"/>
  <c r="P27" i="36"/>
  <c r="Q27"/>
  <c r="Q1742" i="35"/>
  <c r="P1742"/>
  <c r="P26" i="36"/>
  <c r="Q26"/>
  <c r="Q1741" i="35"/>
  <c r="P1741"/>
  <c r="P25" i="36"/>
  <c r="Q25"/>
  <c r="Q1740" i="35"/>
  <c r="P1740"/>
  <c r="P24" i="36"/>
  <c r="Q24"/>
  <c r="Q1739" i="35"/>
  <c r="P1739"/>
  <c r="P23" i="36"/>
  <c r="Q23"/>
  <c r="Q1738" i="35"/>
  <c r="P1738"/>
  <c r="P22" i="36"/>
  <c r="Q22"/>
  <c r="Q1737" i="35"/>
  <c r="P1737"/>
  <c r="P21" i="36"/>
  <c r="Q21"/>
  <c r="Q1736" i="35"/>
  <c r="P1736"/>
  <c r="P20" i="36"/>
  <c r="Q20"/>
  <c r="Q1735" i="35"/>
  <c r="P1735"/>
  <c r="P19" i="36"/>
  <c r="Q19"/>
  <c r="Q1734" i="35"/>
  <c r="P1734"/>
  <c r="P18" i="36"/>
  <c r="Q18"/>
  <c r="Q1733" i="35"/>
  <c r="P1733"/>
  <c r="P17" i="36"/>
  <c r="Q17"/>
  <c r="Q1732" i="35"/>
  <c r="P1732"/>
  <c r="P16" i="36"/>
  <c r="Q16"/>
  <c r="Q1731" i="35"/>
  <c r="P1731"/>
  <c r="P15" i="36"/>
  <c r="Q15"/>
  <c r="Q1730" i="35"/>
  <c r="P1730"/>
  <c r="P14" i="36"/>
  <c r="Q14"/>
  <c r="Q1729" i="35"/>
  <c r="P1729"/>
  <c r="P13" i="36"/>
  <c r="Q13"/>
  <c r="Q1728" i="35"/>
  <c r="P1728"/>
  <c r="P12" i="36"/>
  <c r="Q12"/>
  <c r="Q1727" i="35"/>
  <c r="P1727"/>
  <c r="P11" i="36"/>
  <c r="Q11"/>
  <c r="Q1726" i="35"/>
  <c r="P1726"/>
  <c r="P10" i="36"/>
  <c r="Q10"/>
  <c r="Q1725" i="35"/>
  <c r="P1725"/>
  <c r="A1722"/>
  <c r="P1721"/>
  <c r="G1721"/>
  <c r="G1720"/>
  <c r="O1718"/>
  <c r="A1716"/>
  <c r="B1713"/>
  <c r="B1712"/>
  <c r="B1709"/>
  <c r="B1708"/>
  <c r="M1696"/>
  <c r="M1697"/>
  <c r="M1698"/>
  <c r="M1699"/>
  <c r="M1700"/>
  <c r="M1701"/>
  <c r="M1702"/>
  <c r="M1703"/>
  <c r="L1696"/>
  <c r="L1697"/>
  <c r="L1698"/>
  <c r="L1699"/>
  <c r="L1700"/>
  <c r="L1701"/>
  <c r="L1702"/>
  <c r="L1703"/>
  <c r="K1696"/>
  <c r="K1697"/>
  <c r="K1698"/>
  <c r="K1699"/>
  <c r="K1700"/>
  <c r="K1701"/>
  <c r="K1702"/>
  <c r="K1703"/>
  <c r="J1696"/>
  <c r="J1697"/>
  <c r="J1698"/>
  <c r="J1699"/>
  <c r="J1700"/>
  <c r="J1701"/>
  <c r="J1702"/>
  <c r="J1703"/>
  <c r="I1696"/>
  <c r="I1697"/>
  <c r="I1698"/>
  <c r="I1699"/>
  <c r="I1700"/>
  <c r="I1701"/>
  <c r="I1702"/>
  <c r="I1703"/>
  <c r="G1702"/>
  <c r="F1702"/>
  <c r="G1701"/>
  <c r="F1701"/>
  <c r="E1701"/>
  <c r="G1700"/>
  <c r="F1700"/>
  <c r="G1699"/>
  <c r="F1699"/>
  <c r="D1699"/>
  <c r="G1698"/>
  <c r="F1698"/>
  <c r="D1698"/>
  <c r="G1697"/>
  <c r="F1697"/>
  <c r="G1696"/>
  <c r="F1696"/>
  <c r="D1696"/>
  <c r="L1692"/>
  <c r="I1692"/>
  <c r="I1691"/>
  <c r="M1682"/>
  <c r="M1683"/>
  <c r="M1684"/>
  <c r="M1685"/>
  <c r="M1686"/>
  <c r="M1687"/>
  <c r="M1688"/>
  <c r="M1689"/>
  <c r="L1682"/>
  <c r="L1683"/>
  <c r="L1684"/>
  <c r="L1685"/>
  <c r="L1686"/>
  <c r="L1687"/>
  <c r="L1688"/>
  <c r="L1689"/>
  <c r="K1682"/>
  <c r="K1683"/>
  <c r="K1684"/>
  <c r="K1685"/>
  <c r="K1686"/>
  <c r="K1687"/>
  <c r="K1688"/>
  <c r="K1689"/>
  <c r="J1682"/>
  <c r="J1683"/>
  <c r="J1684"/>
  <c r="J1685"/>
  <c r="J1686"/>
  <c r="J1687"/>
  <c r="J1688"/>
  <c r="J1689"/>
  <c r="I1682"/>
  <c r="I1683"/>
  <c r="I1684"/>
  <c r="I1685"/>
  <c r="I1686"/>
  <c r="I1687"/>
  <c r="I1688"/>
  <c r="I1689"/>
  <c r="G1688"/>
  <c r="F1688"/>
  <c r="G1687"/>
  <c r="F1687"/>
  <c r="E1687"/>
  <c r="G1686"/>
  <c r="F1686"/>
  <c r="G1685"/>
  <c r="F1685"/>
  <c r="D1685"/>
  <c r="G1684"/>
  <c r="F1684"/>
  <c r="D1684"/>
  <c r="G1683"/>
  <c r="F1683"/>
  <c r="G1682"/>
  <c r="F1682"/>
  <c r="D1682"/>
  <c r="L1678"/>
  <c r="I1678"/>
  <c r="I1677"/>
  <c r="I1675"/>
  <c r="A1673"/>
  <c r="K1668"/>
  <c r="A1668"/>
  <c r="K1667"/>
  <c r="A1667"/>
  <c r="K1666"/>
  <c r="A1666"/>
  <c r="K1665"/>
  <c r="A1665"/>
  <c r="J1504"/>
  <c r="J1505"/>
  <c r="J1506"/>
  <c r="J1507"/>
  <c r="J1508"/>
  <c r="J1509"/>
  <c r="J1510"/>
  <c r="J1511"/>
  <c r="J1512"/>
  <c r="J1513"/>
  <c r="J1521"/>
  <c r="J1522"/>
  <c r="J1523"/>
  <c r="J1525"/>
  <c r="J1526"/>
  <c r="J1527"/>
  <c r="J1528"/>
  <c r="J1530"/>
  <c r="J1531"/>
  <c r="J1532"/>
  <c r="J1538"/>
  <c r="J1544"/>
  <c r="J1545"/>
  <c r="J1546"/>
  <c r="J1547"/>
  <c r="J1548"/>
  <c r="J1549"/>
  <c r="J1550"/>
  <c r="J1551"/>
  <c r="J1552"/>
  <c r="J1554"/>
  <c r="J1555"/>
  <c r="J1556"/>
  <c r="J1557"/>
  <c r="J1558"/>
  <c r="J1559"/>
  <c r="J1560"/>
  <c r="J1561"/>
  <c r="J1562"/>
  <c r="J1563"/>
  <c r="J1564"/>
  <c r="J1566"/>
  <c r="J1567"/>
  <c r="J1568"/>
  <c r="J1569"/>
  <c r="J1570"/>
  <c r="J1574"/>
  <c r="J1575"/>
  <c r="J1576"/>
  <c r="J1577"/>
  <c r="J1578"/>
  <c r="J1579"/>
  <c r="J1602"/>
  <c r="J1603"/>
  <c r="J1604"/>
  <c r="J1605"/>
  <c r="J1611"/>
  <c r="J1612"/>
  <c r="J1613"/>
  <c r="J1615"/>
  <c r="J1616"/>
  <c r="J1617"/>
  <c r="J1619"/>
  <c r="J1636"/>
  <c r="J1627"/>
  <c r="J1628"/>
  <c r="J1629"/>
  <c r="J1630"/>
  <c r="J1631"/>
  <c r="J1632"/>
  <c r="J1633"/>
  <c r="J1637"/>
  <c r="J1638"/>
  <c r="J1639"/>
  <c r="J1640"/>
  <c r="M59" i="36"/>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H92"/>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H93"/>
  <c r="H94"/>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I92"/>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I93"/>
  <c r="I94"/>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J92"/>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J93"/>
  <c r="J94"/>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K92"/>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K93"/>
  <c r="K94"/>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L92"/>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L93"/>
  <c r="L94"/>
  <c r="M94"/>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H95"/>
  <c r="H96"/>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I95"/>
  <c r="I96"/>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J95"/>
  <c r="J96"/>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K95"/>
  <c r="K96"/>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L95"/>
  <c r="L96"/>
  <c r="M96"/>
  <c r="J1641" i="35"/>
  <c r="J1642"/>
  <c r="J1643"/>
  <c r="J1644"/>
  <c r="M1504"/>
  <c r="M1505"/>
  <c r="M1506"/>
  <c r="M1507"/>
  <c r="M1508"/>
  <c r="M1509"/>
  <c r="M1510"/>
  <c r="M1511"/>
  <c r="M1512"/>
  <c r="M1513"/>
  <c r="M1517"/>
  <c r="M1518"/>
  <c r="M1519"/>
  <c r="M1521"/>
  <c r="M1523"/>
  <c r="M1525"/>
  <c r="M1526"/>
  <c r="M1527"/>
  <c r="M1528"/>
  <c r="M1530"/>
  <c r="M1531"/>
  <c r="M1532"/>
  <c r="M1538"/>
  <c r="M1544"/>
  <c r="M1545"/>
  <c r="M1546"/>
  <c r="M1547"/>
  <c r="M1548"/>
  <c r="M1549"/>
  <c r="M1550"/>
  <c r="M1551"/>
  <c r="M1552"/>
  <c r="M1554"/>
  <c r="M1555"/>
  <c r="M1556"/>
  <c r="M1557"/>
  <c r="M1558"/>
  <c r="M1559"/>
  <c r="M1560"/>
  <c r="M1561"/>
  <c r="M1562"/>
  <c r="M1563"/>
  <c r="M1564"/>
  <c r="M1566"/>
  <c r="M1567"/>
  <c r="M1568"/>
  <c r="M1569"/>
  <c r="M1570"/>
  <c r="M1574"/>
  <c r="M1575"/>
  <c r="M1576"/>
  <c r="M1577"/>
  <c r="M1578"/>
  <c r="M1579"/>
  <c r="M1602"/>
  <c r="M1603"/>
  <c r="M1604"/>
  <c r="M1605"/>
  <c r="M1611"/>
  <c r="M1612"/>
  <c r="M1613"/>
  <c r="M1615"/>
  <c r="M1616"/>
  <c r="M1617"/>
  <c r="M1619"/>
  <c r="M1636"/>
  <c r="M1638"/>
  <c r="M1640"/>
  <c r="M1641"/>
  <c r="M1642"/>
  <c r="M1643"/>
  <c r="M1644"/>
  <c r="P1504"/>
  <c r="P1505"/>
  <c r="P1506"/>
  <c r="P1507"/>
  <c r="P1508"/>
  <c r="P1509"/>
  <c r="P1510"/>
  <c r="P1511"/>
  <c r="P1512"/>
  <c r="P1513"/>
  <c r="P1521"/>
  <c r="P1523"/>
  <c r="P1525"/>
  <c r="P1526"/>
  <c r="P1527"/>
  <c r="P1528"/>
  <c r="P1530"/>
  <c r="P1531"/>
  <c r="P1532"/>
  <c r="P1538"/>
  <c r="P1544"/>
  <c r="P1545"/>
  <c r="P1546"/>
  <c r="P1547"/>
  <c r="P1548"/>
  <c r="P1549"/>
  <c r="P1550"/>
  <c r="P1551"/>
  <c r="P1552"/>
  <c r="P1554"/>
  <c r="P1555"/>
  <c r="P1556"/>
  <c r="P1557"/>
  <c r="P1558"/>
  <c r="P1559"/>
  <c r="P1560"/>
  <c r="P1561"/>
  <c r="P1562"/>
  <c r="P1563"/>
  <c r="P1564"/>
  <c r="P1566"/>
  <c r="P1567"/>
  <c r="P1568"/>
  <c r="P1569"/>
  <c r="P1570"/>
  <c r="P1574"/>
  <c r="P1575"/>
  <c r="P1576"/>
  <c r="P1577"/>
  <c r="P1578"/>
  <c r="P1579"/>
  <c r="P1602"/>
  <c r="P1603"/>
  <c r="P1604"/>
  <c r="P1605"/>
  <c r="P1611"/>
  <c r="P1612"/>
  <c r="P1613"/>
  <c r="P1615"/>
  <c r="P1616"/>
  <c r="P1617"/>
  <c r="P1619"/>
  <c r="P1636"/>
  <c r="P1627"/>
  <c r="P1628"/>
  <c r="P1629"/>
  <c r="P1630"/>
  <c r="P1631"/>
  <c r="P1632"/>
  <c r="P1633"/>
  <c r="P1637"/>
  <c r="P1638"/>
  <c r="P1639"/>
  <c r="P1640"/>
  <c r="P1641"/>
  <c r="P1642"/>
  <c r="P1643"/>
  <c r="P1644"/>
  <c r="J1645"/>
  <c r="N1654"/>
  <c r="Q1654"/>
  <c r="J1654"/>
  <c r="J1649"/>
  <c r="H49" i="3"/>
  <c r="J1650" i="35" s="1"/>
  <c r="J1651" s="1"/>
  <c r="J1653" s="1"/>
  <c r="J1655" s="1"/>
  <c r="J1657" s="1"/>
  <c r="J1659"/>
  <c r="T1652"/>
  <c r="O1652"/>
  <c r="M1652"/>
  <c r="J1652"/>
  <c r="T1651"/>
  <c r="G1504"/>
  <c r="G1505"/>
  <c r="G1506"/>
  <c r="G1507"/>
  <c r="G1508"/>
  <c r="G1509"/>
  <c r="G1510"/>
  <c r="G1511"/>
  <c r="G1512"/>
  <c r="G1513"/>
  <c r="G1515"/>
  <c r="G1516"/>
  <c r="G1517"/>
  <c r="G1518"/>
  <c r="G1519"/>
  <c r="G1521"/>
  <c r="G1522"/>
  <c r="G1523"/>
  <c r="G1525"/>
  <c r="G1526"/>
  <c r="G1527"/>
  <c r="G1528"/>
  <c r="G1530"/>
  <c r="G1531"/>
  <c r="G1532"/>
  <c r="G1538"/>
  <c r="G1544"/>
  <c r="G1545"/>
  <c r="G1546"/>
  <c r="G1547"/>
  <c r="G1548"/>
  <c r="G1549"/>
  <c r="G1550"/>
  <c r="G1551"/>
  <c r="G1552"/>
  <c r="G1554"/>
  <c r="G1555"/>
  <c r="G1556"/>
  <c r="G1557"/>
  <c r="G1558"/>
  <c r="G1559"/>
  <c r="G1560"/>
  <c r="G1561"/>
  <c r="G1562"/>
  <c r="G1563"/>
  <c r="G1564"/>
  <c r="G1566"/>
  <c r="G1567"/>
  <c r="G1568"/>
  <c r="G1569"/>
  <c r="G1570"/>
  <c r="G1572"/>
  <c r="G1573"/>
  <c r="G1574"/>
  <c r="G1575"/>
  <c r="G1576"/>
  <c r="G1577"/>
  <c r="G1578"/>
  <c r="G1579"/>
  <c r="G1585"/>
  <c r="G1586"/>
  <c r="G1587"/>
  <c r="G1588"/>
  <c r="G1589"/>
  <c r="G1590"/>
  <c r="G1591"/>
  <c r="G1592"/>
  <c r="G1593"/>
  <c r="G1594"/>
  <c r="G1596"/>
  <c r="G1597"/>
  <c r="G1598"/>
  <c r="G1599"/>
  <c r="G1600"/>
  <c r="G1602"/>
  <c r="G1603"/>
  <c r="G1604"/>
  <c r="G1605"/>
  <c r="G1607"/>
  <c r="G1608"/>
  <c r="G1609"/>
  <c r="G1610"/>
  <c r="G1611"/>
  <c r="G1612"/>
  <c r="G1613"/>
  <c r="G1615"/>
  <c r="G1616"/>
  <c r="G1617"/>
  <c r="G1619"/>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H63"/>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I63"/>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J63"/>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K63"/>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L63"/>
  <c r="R11" i="24"/>
  <c r="D1621" i="35"/>
  <c r="J1648"/>
  <c r="M1647"/>
  <c r="H1639"/>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H98"/>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I98"/>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J98"/>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K98"/>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L98"/>
  <c r="M98"/>
  <c r="M1621" i="35"/>
  <c r="M63" i="36"/>
  <c r="G1621" i="35"/>
  <c r="S1504"/>
  <c r="S1505"/>
  <c r="S1506"/>
  <c r="S1507"/>
  <c r="S1508"/>
  <c r="S1509"/>
  <c r="S1510"/>
  <c r="S1511"/>
  <c r="S1512"/>
  <c r="S1513"/>
  <c r="S1515"/>
  <c r="S1516"/>
  <c r="S1517"/>
  <c r="S1518"/>
  <c r="S1519"/>
  <c r="S1521"/>
  <c r="S1522"/>
  <c r="S1523"/>
  <c r="S1525"/>
  <c r="S1526"/>
  <c r="S1527"/>
  <c r="S1528"/>
  <c r="S1530"/>
  <c r="S1531"/>
  <c r="S1532"/>
  <c r="S1538"/>
  <c r="S1544"/>
  <c r="S1545"/>
  <c r="S1546"/>
  <c r="S1547"/>
  <c r="S1548"/>
  <c r="S1549"/>
  <c r="S1550"/>
  <c r="S1551"/>
  <c r="S1552"/>
  <c r="S1554"/>
  <c r="S1555"/>
  <c r="S1556"/>
  <c r="S1557"/>
  <c r="S1558"/>
  <c r="S1559"/>
  <c r="S1560"/>
  <c r="S1561"/>
  <c r="S1562"/>
  <c r="S1563"/>
  <c r="S1564"/>
  <c r="S1566"/>
  <c r="S1567"/>
  <c r="S1568"/>
  <c r="S1569"/>
  <c r="S1570"/>
  <c r="S1572"/>
  <c r="S1573"/>
  <c r="S1574"/>
  <c r="S1575"/>
  <c r="S1576"/>
  <c r="S1577"/>
  <c r="S1578"/>
  <c r="S1579"/>
  <c r="S1585"/>
  <c r="S1586"/>
  <c r="S1587"/>
  <c r="S1588"/>
  <c r="S1589"/>
  <c r="S1590"/>
  <c r="S1591"/>
  <c r="S1592"/>
  <c r="S1593"/>
  <c r="S1594"/>
  <c r="S1596"/>
  <c r="S1597"/>
  <c r="S1598"/>
  <c r="S1599"/>
  <c r="S1600"/>
  <c r="S1602"/>
  <c r="S1603"/>
  <c r="S1604"/>
  <c r="S1605"/>
  <c r="S1607"/>
  <c r="S1608"/>
  <c r="S1609"/>
  <c r="S1610"/>
  <c r="S1611"/>
  <c r="S1612"/>
  <c r="S1613"/>
  <c r="S1615"/>
  <c r="S1616"/>
  <c r="S1617"/>
  <c r="S1619"/>
  <c r="C1616"/>
  <c r="U1616"/>
  <c r="A1616"/>
  <c r="O1614"/>
  <c r="C1612"/>
  <c r="U1612"/>
  <c r="A1612"/>
  <c r="F1611"/>
  <c r="O1606"/>
  <c r="C1605"/>
  <c r="F1604"/>
  <c r="F1603"/>
  <c r="F1602"/>
  <c r="O1601"/>
  <c r="C1599"/>
  <c r="U1599"/>
  <c r="A1599"/>
  <c r="O1595"/>
  <c r="C1593"/>
  <c r="U1593"/>
  <c r="A1593"/>
  <c r="C1592"/>
  <c r="U1592"/>
  <c r="A1592"/>
  <c r="E1589"/>
  <c r="E1588"/>
  <c r="O1584"/>
  <c r="C1578"/>
  <c r="U1578"/>
  <c r="A1578"/>
  <c r="O1571"/>
  <c r="E1569"/>
  <c r="E1568"/>
  <c r="O1565"/>
  <c r="C1563"/>
  <c r="U1563"/>
  <c r="A1563"/>
  <c r="O1553"/>
  <c r="C1551"/>
  <c r="U1551"/>
  <c r="A1551"/>
  <c r="O1543"/>
  <c r="F1538"/>
  <c r="O1537"/>
  <c r="B1535"/>
  <c r="D1535"/>
  <c r="D1534"/>
  <c r="E1531"/>
  <c r="F1531"/>
  <c r="E1530"/>
  <c r="F1530"/>
  <c r="O1529"/>
  <c r="E1529"/>
  <c r="O1524"/>
  <c r="O1520"/>
  <c r="O1514"/>
  <c r="C1512"/>
  <c r="U1512"/>
  <c r="A1512"/>
  <c r="C1511"/>
  <c r="U1511"/>
  <c r="A1511"/>
  <c r="C1510"/>
  <c r="U1510"/>
  <c r="A1510"/>
  <c r="O1503"/>
  <c r="A1497"/>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D963"/>
  <c r="E1013"/>
  <c r="A1008"/>
  <c r="F1005"/>
  <c r="E1005"/>
  <c r="C1005"/>
  <c r="D972"/>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5"/>
  <c r="D966"/>
  <c r="D967"/>
  <c r="D968"/>
  <c r="D974"/>
  <c r="D976"/>
  <c r="D978"/>
  <c r="D970"/>
  <c r="A959"/>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G471"/>
  <c r="A471"/>
  <c r="D469"/>
  <c r="C422"/>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C418"/>
  <c r="E418"/>
  <c r="E424"/>
  <c r="E425"/>
  <c r="D418"/>
  <c r="D424"/>
  <c r="D425"/>
  <c r="C420"/>
  <c r="C423"/>
  <c r="C424"/>
  <c r="C425"/>
  <c r="A414"/>
  <c r="K411"/>
  <c r="A411"/>
  <c r="K410"/>
  <c r="A410"/>
  <c r="K409"/>
  <c r="A409"/>
  <c r="K408"/>
  <c r="A408"/>
  <c r="Q404"/>
  <c r="P404"/>
  <c r="O404"/>
  <c r="N404"/>
  <c r="M404"/>
  <c r="H386"/>
  <c r="H387"/>
  <c r="H388"/>
  <c r="H389"/>
  <c r="H390"/>
  <c r="H391"/>
  <c r="H392"/>
  <c r="H393"/>
  <c r="H394"/>
  <c r="H395"/>
  <c r="H396"/>
  <c r="H397"/>
  <c r="H398"/>
  <c r="H399"/>
  <c r="H400"/>
  <c r="H401"/>
  <c r="H402"/>
  <c r="G17" i="15"/>
  <c r="G23"/>
  <c r="G27"/>
  <c r="G32"/>
  <c r="G36"/>
  <c r="G56"/>
  <c r="G68"/>
  <c r="G74"/>
  <c r="G83"/>
  <c r="G98"/>
  <c r="G104"/>
  <c r="G109"/>
  <c r="G117"/>
  <c r="G121"/>
  <c r="G123"/>
  <c r="H403" i="35"/>
  <c r="H404"/>
  <c r="Q402"/>
  <c r="P402"/>
  <c r="O402"/>
  <c r="N402"/>
  <c r="M402"/>
  <c r="E401"/>
  <c r="C401"/>
  <c r="Q400"/>
  <c r="P400"/>
  <c r="O400"/>
  <c r="N400"/>
  <c r="M400"/>
  <c r="E400"/>
  <c r="C400"/>
  <c r="E399"/>
  <c r="C399"/>
  <c r="Q398"/>
  <c r="P398"/>
  <c r="O398"/>
  <c r="N398"/>
  <c r="M398"/>
  <c r="E398"/>
  <c r="E397"/>
  <c r="Q396"/>
  <c r="P396"/>
  <c r="O396"/>
  <c r="N396"/>
  <c r="E396"/>
  <c r="S393"/>
  <c r="S394"/>
  <c r="S395"/>
  <c r="E395"/>
  <c r="J17" i="15"/>
  <c r="J27"/>
  <c r="J32"/>
  <c r="J36"/>
  <c r="J56"/>
  <c r="J68"/>
  <c r="J74"/>
  <c r="J83"/>
  <c r="J109"/>
  <c r="J117"/>
  <c r="J121"/>
  <c r="J123"/>
  <c r="J140"/>
  <c r="J137"/>
  <c r="J141"/>
  <c r="J142"/>
  <c r="J144"/>
  <c r="J145"/>
  <c r="J146"/>
  <c r="J148"/>
  <c r="M17"/>
  <c r="M23"/>
  <c r="M27"/>
  <c r="M32"/>
  <c r="M36"/>
  <c r="M56"/>
  <c r="M68"/>
  <c r="M74"/>
  <c r="M83"/>
  <c r="M109"/>
  <c r="M117"/>
  <c r="M121"/>
  <c r="M123"/>
  <c r="M140"/>
  <c r="M142"/>
  <c r="M144"/>
  <c r="M145"/>
  <c r="M146"/>
  <c r="M148"/>
  <c r="P17"/>
  <c r="P27"/>
  <c r="P32"/>
  <c r="P36"/>
  <c r="P56"/>
  <c r="P68"/>
  <c r="P74"/>
  <c r="P83"/>
  <c r="P109"/>
  <c r="P117"/>
  <c r="P121"/>
  <c r="P123"/>
  <c r="P140"/>
  <c r="P137"/>
  <c r="P141"/>
  <c r="P142"/>
  <c r="P144"/>
  <c r="P145"/>
  <c r="P146"/>
  <c r="P148"/>
  <c r="J149"/>
  <c r="J158"/>
  <c r="J154"/>
  <c r="J155"/>
  <c r="J157"/>
  <c r="J159"/>
  <c r="J161"/>
  <c r="J165"/>
  <c r="J394" i="35"/>
  <c r="L394"/>
  <c r="E394"/>
  <c r="J393"/>
  <c r="L393"/>
  <c r="E393"/>
  <c r="E392"/>
  <c r="E391"/>
  <c r="Q390"/>
  <c r="O390"/>
  <c r="M390"/>
  <c r="L390"/>
  <c r="K390"/>
  <c r="J390"/>
  <c r="E390"/>
  <c r="D37" i="3"/>
  <c r="D390" i="35"/>
  <c r="Q389"/>
  <c r="O389"/>
  <c r="M389"/>
  <c r="L389"/>
  <c r="K389"/>
  <c r="J389"/>
  <c r="E389"/>
  <c r="Q388"/>
  <c r="O388"/>
  <c r="M388"/>
  <c r="L388"/>
  <c r="K388"/>
  <c r="J388"/>
  <c r="E388"/>
  <c r="C388"/>
  <c r="Q387"/>
  <c r="O387"/>
  <c r="M387"/>
  <c r="L387"/>
  <c r="K387"/>
  <c r="J387"/>
  <c r="E387"/>
  <c r="E385"/>
  <c r="B387"/>
  <c r="Q386"/>
  <c r="O386"/>
  <c r="M386"/>
  <c r="L386"/>
  <c r="K386"/>
  <c r="J386"/>
  <c r="E386"/>
  <c r="B386"/>
  <c r="Q385"/>
  <c r="O385"/>
  <c r="M385"/>
  <c r="L385"/>
  <c r="K32" i="3"/>
  <c r="K385" i="35"/>
  <c r="J385"/>
  <c r="B385"/>
  <c r="L367"/>
  <c r="L368"/>
  <c r="L369"/>
  <c r="L370"/>
  <c r="L371"/>
  <c r="L372"/>
  <c r="L373"/>
  <c r="L374"/>
  <c r="L375"/>
  <c r="L376"/>
  <c r="L377"/>
  <c r="L378"/>
  <c r="L379"/>
  <c r="L380"/>
  <c r="H377"/>
  <c r="D377"/>
  <c r="H376"/>
  <c r="D376"/>
  <c r="H375"/>
  <c r="D375"/>
  <c r="H374"/>
  <c r="H373"/>
  <c r="H372"/>
  <c r="H371"/>
  <c r="H370"/>
  <c r="P369"/>
  <c r="N369"/>
  <c r="H369"/>
  <c r="P368"/>
  <c r="N368"/>
  <c r="H368"/>
  <c r="P367"/>
  <c r="N367"/>
  <c r="H367"/>
  <c r="M361"/>
  <c r="J361"/>
  <c r="H361"/>
  <c r="E361"/>
  <c r="B361"/>
  <c r="P360"/>
  <c r="M360"/>
  <c r="J360"/>
  <c r="E360"/>
  <c r="B360"/>
  <c r="M359"/>
  <c r="J359"/>
  <c r="E359"/>
  <c r="B359"/>
  <c r="M358"/>
  <c r="J358"/>
  <c r="E358"/>
  <c r="B358"/>
  <c r="A354"/>
  <c r="N351"/>
  <c r="A351"/>
  <c r="N350"/>
  <c r="A350"/>
  <c r="N349"/>
  <c r="A349"/>
  <c r="R332"/>
  <c r="R333"/>
  <c r="R334"/>
  <c r="R335"/>
  <c r="R336"/>
  <c r="R337"/>
  <c r="R338"/>
  <c r="R339"/>
  <c r="R340"/>
  <c r="R341"/>
  <c r="R342"/>
  <c r="R343"/>
  <c r="R344"/>
  <c r="R345"/>
  <c r="P344"/>
  <c r="N344"/>
  <c r="L344"/>
  <c r="J344"/>
  <c r="G344"/>
  <c r="F344"/>
  <c r="E344"/>
  <c r="P343"/>
  <c r="N343"/>
  <c r="L343"/>
  <c r="J343"/>
  <c r="G343"/>
  <c r="F343"/>
  <c r="E343"/>
  <c r="P342"/>
  <c r="N342"/>
  <c r="L342"/>
  <c r="J342"/>
  <c r="G342"/>
  <c r="F342"/>
  <c r="E342"/>
  <c r="P341"/>
  <c r="N341"/>
  <c r="L341"/>
  <c r="J341"/>
  <c r="G341"/>
  <c r="F341"/>
  <c r="E341"/>
  <c r="P340"/>
  <c r="N340"/>
  <c r="L340"/>
  <c r="J340"/>
  <c r="G340"/>
  <c r="F340"/>
  <c r="E340"/>
  <c r="P339"/>
  <c r="N339"/>
  <c r="L339"/>
  <c r="J339"/>
  <c r="G339"/>
  <c r="F339"/>
  <c r="E339"/>
  <c r="P338"/>
  <c r="N338"/>
  <c r="L338"/>
  <c r="J338"/>
  <c r="G338"/>
  <c r="F338"/>
  <c r="E338"/>
  <c r="P337"/>
  <c r="N337"/>
  <c r="L337"/>
  <c r="J337"/>
  <c r="G337"/>
  <c r="F337"/>
  <c r="E337"/>
  <c r="P336"/>
  <c r="N336"/>
  <c r="L336"/>
  <c r="J336"/>
  <c r="G336"/>
  <c r="F336"/>
  <c r="E336"/>
  <c r="P335"/>
  <c r="N335"/>
  <c r="L335"/>
  <c r="J335"/>
  <c r="G335"/>
  <c r="F335"/>
  <c r="E335"/>
  <c r="P334"/>
  <c r="N334"/>
  <c r="L334"/>
  <c r="J334"/>
  <c r="G334"/>
  <c r="F334"/>
  <c r="E334"/>
  <c r="P333"/>
  <c r="N333"/>
  <c r="L333"/>
  <c r="J333"/>
  <c r="G333"/>
  <c r="F333"/>
  <c r="E333"/>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L230"/>
  <c r="J230"/>
  <c r="H230"/>
  <c r="Q229"/>
  <c r="H229"/>
  <c r="Q228"/>
  <c r="H228"/>
  <c r="Q227"/>
  <c r="H227"/>
  <c r="Q226"/>
  <c r="H226"/>
  <c r="O224"/>
  <c r="L224"/>
  <c r="J224"/>
  <c r="H224"/>
  <c r="Q223"/>
  <c r="N223"/>
  <c r="J223"/>
  <c r="H223"/>
  <c r="Q222"/>
  <c r="H222"/>
  <c r="Q221"/>
  <c r="H221"/>
  <c r="Q220"/>
  <c r="H220"/>
  <c r="O213"/>
  <c r="L213"/>
  <c r="J213"/>
  <c r="H213"/>
  <c r="Q212"/>
  <c r="N212"/>
  <c r="J212"/>
  <c r="H212"/>
  <c r="Q211"/>
  <c r="L211"/>
  <c r="H211"/>
  <c r="Q210"/>
  <c r="H210"/>
  <c r="Q209"/>
  <c r="H209"/>
  <c r="A205"/>
  <c r="K202"/>
  <c r="A202"/>
  <c r="K201"/>
  <c r="A201"/>
  <c r="K200"/>
  <c r="A200"/>
  <c r="I197"/>
  <c r="I196"/>
  <c r="I195"/>
  <c r="I192"/>
  <c r="E192"/>
  <c r="O191"/>
  <c r="I191"/>
  <c r="I190"/>
  <c r="P189"/>
  <c r="I189"/>
  <c r="P188"/>
  <c r="I188"/>
  <c r="P187"/>
  <c r="I187"/>
  <c r="P186"/>
  <c r="I186"/>
  <c r="I181"/>
  <c r="I182"/>
  <c r="I183"/>
  <c r="I180"/>
  <c r="I178"/>
  <c r="P176"/>
  <c r="L176"/>
  <c r="I176"/>
  <c r="M174"/>
  <c r="I174"/>
  <c r="E174"/>
  <c r="M173"/>
  <c r="J173"/>
  <c r="E173"/>
  <c r="M172"/>
  <c r="E172"/>
  <c r="M171"/>
  <c r="E171"/>
  <c r="K170"/>
  <c r="P170"/>
  <c r="K169"/>
  <c r="P169"/>
  <c r="K168"/>
  <c r="H163"/>
  <c r="O162"/>
  <c r="H162"/>
  <c r="H159"/>
  <c r="H157"/>
  <c r="O156"/>
  <c r="H156"/>
  <c r="O155"/>
  <c r="H155"/>
  <c r="H154"/>
  <c r="H153"/>
  <c r="H152"/>
  <c r="H150"/>
  <c r="M148"/>
  <c r="J148"/>
  <c r="F148"/>
  <c r="C148"/>
  <c r="M147"/>
  <c r="J147"/>
  <c r="F147"/>
  <c r="C147"/>
  <c r="M146"/>
  <c r="J146"/>
  <c r="F146"/>
  <c r="C146"/>
  <c r="M145"/>
  <c r="J145"/>
  <c r="F145"/>
  <c r="C145"/>
  <c r="M144"/>
  <c r="J144"/>
  <c r="F144"/>
  <c r="C144"/>
  <c r="M143"/>
  <c r="J143"/>
  <c r="F143"/>
  <c r="C143"/>
  <c r="M142"/>
  <c r="J142"/>
  <c r="F142"/>
  <c r="C142"/>
  <c r="M137"/>
  <c r="J137"/>
  <c r="F137"/>
  <c r="C137"/>
  <c r="M136"/>
  <c r="J136"/>
  <c r="F136"/>
  <c r="C136"/>
  <c r="M135"/>
  <c r="J135"/>
  <c r="F135"/>
  <c r="C135"/>
  <c r="M134"/>
  <c r="J134"/>
  <c r="F134"/>
  <c r="C134"/>
  <c r="M133"/>
  <c r="J133"/>
  <c r="F133"/>
  <c r="C133"/>
  <c r="M132"/>
  <c r="J132"/>
  <c r="F132"/>
  <c r="C132"/>
  <c r="M131"/>
  <c r="J131"/>
  <c r="F131"/>
  <c r="C131"/>
  <c r="H127"/>
  <c r="H125"/>
  <c r="O119"/>
  <c r="L119"/>
  <c r="I119"/>
  <c r="E119"/>
  <c r="M118"/>
  <c r="I118"/>
  <c r="E118"/>
  <c r="K117"/>
  <c r="I117"/>
  <c r="E117"/>
  <c r="O116"/>
  <c r="E116"/>
  <c r="O115"/>
  <c r="E115"/>
  <c r="K111"/>
  <c r="H111"/>
  <c r="E111"/>
  <c r="K110"/>
  <c r="H110"/>
  <c r="E110"/>
  <c r="P106"/>
  <c r="H104"/>
  <c r="H100"/>
  <c r="P100"/>
  <c r="H98"/>
  <c r="P98"/>
  <c r="H96"/>
  <c r="P96"/>
  <c r="N94"/>
  <c r="H94"/>
  <c r="H90"/>
  <c r="H86"/>
  <c r="H87"/>
  <c r="H88"/>
  <c r="P78"/>
  <c r="M95" i="36"/>
  <c r="P79" i="35"/>
  <c r="P80"/>
  <c r="M97" i="36"/>
  <c r="P81" i="35"/>
  <c r="P82"/>
  <c r="P86"/>
  <c r="P87"/>
  <c r="M58" i="36"/>
  <c r="H79" i="35"/>
  <c r="M57" i="36"/>
  <c r="H80" i="35"/>
  <c r="H78"/>
  <c r="M60" i="36"/>
  <c r="H81" i="35"/>
  <c r="H82"/>
  <c r="M62" i="36"/>
  <c r="H83" i="35"/>
  <c r="H84"/>
  <c r="AX10" i="36"/>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H65"/>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I65"/>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J65"/>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K65"/>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L65"/>
  <c r="M65"/>
  <c r="I80" i="35"/>
  <c r="AS10" i="36"/>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48"/>
  <c r="H66"/>
  <c r="AT10"/>
  <c r="AT11"/>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T48"/>
  <c r="I66"/>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J66"/>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K66"/>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L73"/>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F68"/>
  <c r="I64"/>
  <c r="F64"/>
  <c r="L63"/>
  <c r="F63"/>
  <c r="L62"/>
  <c r="F62"/>
  <c r="F61"/>
  <c r="J59"/>
  <c r="H59"/>
  <c r="F59"/>
  <c r="J58"/>
  <c r="H58"/>
  <c r="F58"/>
  <c r="P55"/>
  <c r="N55"/>
  <c r="J55"/>
  <c r="F55"/>
  <c r="O54"/>
  <c r="J54"/>
  <c r="F54"/>
  <c r="O53"/>
  <c r="F51"/>
  <c r="J53"/>
  <c r="L53"/>
  <c r="O52"/>
  <c r="F52"/>
  <c r="O51"/>
  <c r="L46"/>
  <c r="J46"/>
  <c r="F46"/>
  <c r="O45"/>
  <c r="J45"/>
  <c r="F45"/>
  <c r="O44"/>
  <c r="F44"/>
  <c r="O43"/>
  <c r="F43"/>
  <c r="N42"/>
  <c r="F42"/>
  <c r="J38"/>
  <c r="F38"/>
  <c r="J36"/>
  <c r="J35"/>
  <c r="O33"/>
  <c r="A30"/>
  <c r="A27"/>
  <c r="A25"/>
  <c r="A23"/>
  <c r="A21"/>
  <c r="A19"/>
  <c r="A17"/>
  <c r="A15"/>
  <c r="A13"/>
  <c r="A11"/>
  <c r="A9"/>
  <c r="A7"/>
  <c r="A5"/>
  <c r="A3"/>
  <c r="A2"/>
  <c r="R13" i="24"/>
  <c r="R12"/>
  <c r="A3" i="38"/>
  <c r="A2"/>
  <c r="P8" i="11"/>
  <c r="P55"/>
  <c r="P139"/>
  <c r="P132"/>
  <c r="P166"/>
  <c r="P175"/>
  <c r="P191"/>
  <c r="P199"/>
  <c r="P235"/>
  <c r="P227"/>
  <c r="P270"/>
  <c r="P279"/>
  <c r="P294"/>
  <c r="O8"/>
  <c r="O55"/>
  <c r="O139"/>
  <c r="O132"/>
  <c r="O166"/>
  <c r="O175"/>
  <c r="O191"/>
  <c r="O199"/>
  <c r="O207"/>
  <c r="O235"/>
  <c r="O227"/>
  <c r="O270"/>
  <c r="O279"/>
  <c r="O294"/>
  <c r="M294"/>
  <c r="L279"/>
  <c r="R272"/>
  <c r="R271"/>
  <c r="L271"/>
  <c r="R259"/>
  <c r="L259"/>
  <c r="R247"/>
  <c r="L247"/>
  <c r="R243"/>
  <c r="L243"/>
  <c r="R242"/>
  <c r="L242"/>
  <c r="R241"/>
  <c r="L241"/>
  <c r="R240"/>
  <c r="L240"/>
  <c r="R239"/>
  <c r="L239"/>
  <c r="R238"/>
  <c r="L238"/>
  <c r="R237"/>
  <c r="L237"/>
  <c r="R236"/>
  <c r="L236"/>
  <c r="L234"/>
  <c r="L229"/>
  <c r="L228"/>
  <c r="L227"/>
  <c r="L213"/>
  <c r="L207"/>
  <c r="R201"/>
  <c r="R200"/>
  <c r="L200"/>
  <c r="R193"/>
  <c r="L193"/>
  <c r="R192"/>
  <c r="L192"/>
  <c r="L183"/>
  <c r="L182"/>
  <c r="R180"/>
  <c r="A179"/>
  <c r="A178"/>
  <c r="L176"/>
  <c r="R168"/>
  <c r="L168"/>
  <c r="R167"/>
  <c r="L146"/>
  <c r="L133"/>
  <c r="G133"/>
  <c r="M124"/>
  <c r="M123"/>
  <c r="M122"/>
  <c r="M121"/>
  <c r="M119"/>
  <c r="M118"/>
  <c r="M117"/>
  <c r="M116"/>
  <c r="M115"/>
  <c r="M113"/>
  <c r="M109"/>
  <c r="M108"/>
  <c r="M107"/>
  <c r="M106"/>
  <c r="M103"/>
  <c r="M102"/>
  <c r="M101"/>
  <c r="M99"/>
  <c r="M98"/>
  <c r="M97"/>
  <c r="M85"/>
  <c r="M84"/>
  <c r="N64"/>
  <c r="L57"/>
  <c r="L56"/>
  <c r="L42"/>
  <c r="M32"/>
  <c r="R31"/>
  <c r="L31"/>
  <c r="P17"/>
  <c r="K17"/>
  <c r="F17"/>
  <c r="G12"/>
  <c r="G11"/>
  <c r="G10"/>
  <c r="P6"/>
  <c r="O6"/>
  <c r="A1"/>
  <c r="A3" i="6"/>
  <c r="H3"/>
  <c r="A1"/>
  <c r="A148" i="8"/>
  <c r="A147"/>
  <c r="A146"/>
  <c r="C13"/>
  <c r="D13"/>
  <c r="E13"/>
  <c r="F13"/>
  <c r="G13"/>
  <c r="H13"/>
  <c r="I13"/>
  <c r="J13"/>
  <c r="K13"/>
  <c r="B48"/>
  <c r="C48"/>
  <c r="D48"/>
  <c r="E48"/>
  <c r="F48"/>
  <c r="G48"/>
  <c r="H48"/>
  <c r="I48"/>
  <c r="J48"/>
  <c r="K48"/>
  <c r="B83"/>
  <c r="C83"/>
  <c r="D83"/>
  <c r="E83"/>
  <c r="F83"/>
  <c r="G83"/>
  <c r="H83"/>
  <c r="I83"/>
  <c r="J83"/>
  <c r="K83"/>
  <c r="B118"/>
  <c r="C118"/>
  <c r="D118"/>
  <c r="E118"/>
  <c r="F118"/>
  <c r="F119"/>
  <c r="F120"/>
  <c r="F121"/>
  <c r="F125"/>
  <c r="P148" i="36"/>
  <c r="F166"/>
  <c r="P145"/>
  <c r="F155"/>
  <c r="K153"/>
  <c r="F146"/>
  <c r="K144"/>
  <c r="K163"/>
  <c r="P158"/>
  <c r="B19" i="8"/>
  <c r="F124"/>
  <c r="P161" i="36"/>
  <c r="B21" i="8"/>
  <c r="F126"/>
  <c r="F145"/>
  <c r="E119"/>
  <c r="E120"/>
  <c r="E121"/>
  <c r="E125"/>
  <c r="E124"/>
  <c r="E126"/>
  <c r="E145"/>
  <c r="D119"/>
  <c r="D120"/>
  <c r="D121"/>
  <c r="D125"/>
  <c r="D124"/>
  <c r="D126"/>
  <c r="D145"/>
  <c r="C119"/>
  <c r="C120"/>
  <c r="C121"/>
  <c r="C125"/>
  <c r="C124"/>
  <c r="C126"/>
  <c r="C145"/>
  <c r="B119"/>
  <c r="B120"/>
  <c r="B121"/>
  <c r="B125"/>
  <c r="B124"/>
  <c r="B126"/>
  <c r="B145"/>
  <c r="E55" i="25"/>
  <c r="D18"/>
  <c r="D20"/>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E42"/>
  <c r="F129" i="8"/>
  <c r="F144"/>
  <c r="E41" i="25"/>
  <c r="E129" i="8"/>
  <c r="E144"/>
  <c r="E40" i="25"/>
  <c r="D129" i="8"/>
  <c r="D144"/>
  <c r="E39" i="25"/>
  <c r="C129" i="8"/>
  <c r="C144"/>
  <c r="E38" i="25"/>
  <c r="B129" i="8"/>
  <c r="B144"/>
  <c r="A74"/>
  <c r="A109"/>
  <c r="A144"/>
  <c r="F127"/>
  <c r="F143"/>
  <c r="E127"/>
  <c r="E143"/>
  <c r="D127"/>
  <c r="D143"/>
  <c r="C127"/>
  <c r="C143"/>
  <c r="B127"/>
  <c r="B143"/>
  <c r="A73"/>
  <c r="A108"/>
  <c r="A143"/>
  <c r="F142"/>
  <c r="E142"/>
  <c r="D142"/>
  <c r="C142"/>
  <c r="B142"/>
  <c r="A37"/>
  <c r="A72"/>
  <c r="A107"/>
  <c r="A142"/>
  <c r="F141"/>
  <c r="E141"/>
  <c r="D141"/>
  <c r="C141"/>
  <c r="B141"/>
  <c r="A36"/>
  <c r="A71"/>
  <c r="A106"/>
  <c r="A141"/>
  <c r="F140"/>
  <c r="E140"/>
  <c r="D140"/>
  <c r="C140"/>
  <c r="B140"/>
  <c r="A35"/>
  <c r="A70"/>
  <c r="A105"/>
  <c r="A140"/>
  <c r="F139"/>
  <c r="E139"/>
  <c r="D139"/>
  <c r="C139"/>
  <c r="B139"/>
  <c r="A34"/>
  <c r="A69"/>
  <c r="A104"/>
  <c r="A139"/>
  <c r="F138"/>
  <c r="E138"/>
  <c r="D138"/>
  <c r="C138"/>
  <c r="B138"/>
  <c r="A63"/>
  <c r="A98"/>
  <c r="A133"/>
  <c r="A62"/>
  <c r="A97"/>
  <c r="A132"/>
  <c r="A26"/>
  <c r="A61"/>
  <c r="A96"/>
  <c r="A131"/>
  <c r="A25"/>
  <c r="A60"/>
  <c r="A95"/>
  <c r="A130"/>
  <c r="A24"/>
  <c r="A59"/>
  <c r="A94"/>
  <c r="A129"/>
  <c r="A23"/>
  <c r="A58"/>
  <c r="A93"/>
  <c r="A128"/>
  <c r="A113"/>
  <c r="A112"/>
  <c r="A111"/>
  <c r="K84"/>
  <c r="K85"/>
  <c r="K86"/>
  <c r="P131" i="36"/>
  <c r="K87" i="8"/>
  <c r="K90"/>
  <c r="K89"/>
  <c r="K91"/>
  <c r="P134" i="36"/>
  <c r="P137"/>
  <c r="K88" i="8"/>
  <c r="K110"/>
  <c r="J84"/>
  <c r="J85"/>
  <c r="J86"/>
  <c r="O131" i="36"/>
  <c r="J87" i="8"/>
  <c r="J90"/>
  <c r="J89"/>
  <c r="J91"/>
  <c r="O134" i="36"/>
  <c r="O137"/>
  <c r="J88" i="8"/>
  <c r="J110"/>
  <c r="I84"/>
  <c r="I85"/>
  <c r="I86"/>
  <c r="N131" i="36"/>
  <c r="I87" i="8"/>
  <c r="I90"/>
  <c r="I89"/>
  <c r="I91"/>
  <c r="N134" i="36"/>
  <c r="N137"/>
  <c r="I88" i="8"/>
  <c r="I110"/>
  <c r="H84"/>
  <c r="H85"/>
  <c r="H86"/>
  <c r="M131" i="36"/>
  <c r="H87" i="8"/>
  <c r="H90"/>
  <c r="H89"/>
  <c r="H91"/>
  <c r="M134" i="36"/>
  <c r="M137"/>
  <c r="H88" i="8"/>
  <c r="H110"/>
  <c r="G84"/>
  <c r="G85"/>
  <c r="G86"/>
  <c r="L131" i="36"/>
  <c r="G87" i="8"/>
  <c r="G90"/>
  <c r="G89"/>
  <c r="G91"/>
  <c r="L134" i="36"/>
  <c r="L137"/>
  <c r="G88" i="8"/>
  <c r="G110"/>
  <c r="F84"/>
  <c r="F85"/>
  <c r="F86"/>
  <c r="K131" i="36"/>
  <c r="F87" i="8"/>
  <c r="F90"/>
  <c r="F89"/>
  <c r="F91"/>
  <c r="K134" i="36"/>
  <c r="K137"/>
  <c r="F88" i="8"/>
  <c r="F110"/>
  <c r="E84"/>
  <c r="E85"/>
  <c r="E86"/>
  <c r="J131" i="36"/>
  <c r="E87" i="8"/>
  <c r="E90"/>
  <c r="E89"/>
  <c r="E91"/>
  <c r="J134" i="36"/>
  <c r="J137"/>
  <c r="E88" i="8"/>
  <c r="E110"/>
  <c r="D84"/>
  <c r="D85"/>
  <c r="D86"/>
  <c r="I131" i="36"/>
  <c r="D87" i="8"/>
  <c r="D90"/>
  <c r="D89"/>
  <c r="D91"/>
  <c r="I134" i="36"/>
  <c r="I137"/>
  <c r="D88" i="8"/>
  <c r="D110"/>
  <c r="C84"/>
  <c r="C85"/>
  <c r="C86"/>
  <c r="H131" i="36"/>
  <c r="C87" i="8"/>
  <c r="C90"/>
  <c r="C89"/>
  <c r="C91"/>
  <c r="H134" i="36"/>
  <c r="H137"/>
  <c r="C88" i="8"/>
  <c r="C110"/>
  <c r="B84"/>
  <c r="B85"/>
  <c r="B86"/>
  <c r="G131" i="36"/>
  <c r="B87" i="8"/>
  <c r="B90"/>
  <c r="B89"/>
  <c r="B91"/>
  <c r="G134" i="36"/>
  <c r="G137"/>
  <c r="B88" i="8"/>
  <c r="B110"/>
  <c r="E37" i="25"/>
  <c r="K94" i="8"/>
  <c r="K109"/>
  <c r="E36" i="25"/>
  <c r="J94" i="8"/>
  <c r="J109"/>
  <c r="E35" i="25"/>
  <c r="I94" i="8"/>
  <c r="I109"/>
  <c r="E34" i="25"/>
  <c r="H94" i="8"/>
  <c r="H109"/>
  <c r="E33" i="25"/>
  <c r="G94" i="8"/>
  <c r="G109"/>
  <c r="E32" i="25"/>
  <c r="F94" i="8"/>
  <c r="F109"/>
  <c r="E31" i="25"/>
  <c r="E94" i="8"/>
  <c r="E109"/>
  <c r="E30" i="25"/>
  <c r="D94" i="8"/>
  <c r="D109"/>
  <c r="E29" i="25"/>
  <c r="C94" i="8"/>
  <c r="C109"/>
  <c r="E28" i="25"/>
  <c r="B94" i="8"/>
  <c r="B109"/>
  <c r="K92"/>
  <c r="K108"/>
  <c r="J92"/>
  <c r="J108"/>
  <c r="I92"/>
  <c r="I108"/>
  <c r="H92"/>
  <c r="H108"/>
  <c r="G92"/>
  <c r="G108"/>
  <c r="F92"/>
  <c r="F108"/>
  <c r="E92"/>
  <c r="E108"/>
  <c r="D92"/>
  <c r="D108"/>
  <c r="C92"/>
  <c r="C108"/>
  <c r="B92"/>
  <c r="B108"/>
  <c r="K107"/>
  <c r="J107"/>
  <c r="I107"/>
  <c r="H107"/>
  <c r="G107"/>
  <c r="F107"/>
  <c r="E107"/>
  <c r="D107"/>
  <c r="C107"/>
  <c r="B107"/>
  <c r="K106"/>
  <c r="J106"/>
  <c r="I106"/>
  <c r="H106"/>
  <c r="G106"/>
  <c r="F106"/>
  <c r="E106"/>
  <c r="D106"/>
  <c r="C106"/>
  <c r="B106"/>
  <c r="K105"/>
  <c r="J105"/>
  <c r="I105"/>
  <c r="H105"/>
  <c r="G105"/>
  <c r="F105"/>
  <c r="E105"/>
  <c r="D105"/>
  <c r="C105"/>
  <c r="B105"/>
  <c r="K104"/>
  <c r="J104"/>
  <c r="I104"/>
  <c r="H104"/>
  <c r="G104"/>
  <c r="F104"/>
  <c r="E104"/>
  <c r="D104"/>
  <c r="C104"/>
  <c r="B104"/>
  <c r="K103"/>
  <c r="J103"/>
  <c r="I103"/>
  <c r="H103"/>
  <c r="G103"/>
  <c r="F103"/>
  <c r="E103"/>
  <c r="D103"/>
  <c r="C103"/>
  <c r="B103"/>
  <c r="A78"/>
  <c r="A77"/>
  <c r="A76"/>
  <c r="K49"/>
  <c r="K50"/>
  <c r="K51"/>
  <c r="P120" i="36"/>
  <c r="K52" i="8"/>
  <c r="K55"/>
  <c r="K54"/>
  <c r="K56"/>
  <c r="P123" i="36"/>
  <c r="P126"/>
  <c r="K53" i="8"/>
  <c r="K75"/>
  <c r="J49"/>
  <c r="J50"/>
  <c r="J51"/>
  <c r="O120" i="36"/>
  <c r="J52" i="8"/>
  <c r="J55"/>
  <c r="J54"/>
  <c r="J56"/>
  <c r="O123" i="36"/>
  <c r="O126"/>
  <c r="J53" i="8"/>
  <c r="J75"/>
  <c r="I49"/>
  <c r="I50"/>
  <c r="I51"/>
  <c r="N120" i="36"/>
  <c r="I52" i="8"/>
  <c r="I55"/>
  <c r="I54"/>
  <c r="I56"/>
  <c r="N123" i="36"/>
  <c r="N126"/>
  <c r="I53" i="8"/>
  <c r="I75"/>
  <c r="H49"/>
  <c r="H50"/>
  <c r="H51"/>
  <c r="M120" i="36"/>
  <c r="H52" i="8"/>
  <c r="H55"/>
  <c r="H54"/>
  <c r="H56"/>
  <c r="M123" i="36"/>
  <c r="M126"/>
  <c r="H53" i="8"/>
  <c r="H75"/>
  <c r="G49"/>
  <c r="G50"/>
  <c r="G51"/>
  <c r="L120" i="36"/>
  <c r="G52" i="8"/>
  <c r="G55"/>
  <c r="G54"/>
  <c r="G56"/>
  <c r="L123" i="36"/>
  <c r="L126"/>
  <c r="G53" i="8"/>
  <c r="G75"/>
  <c r="F49"/>
  <c r="F50"/>
  <c r="F51"/>
  <c r="K120" i="36"/>
  <c r="F52" i="8"/>
  <c r="F55"/>
  <c r="F54"/>
  <c r="F56"/>
  <c r="K123" i="36"/>
  <c r="K126"/>
  <c r="F53" i="8"/>
  <c r="F75"/>
  <c r="E49"/>
  <c r="E50"/>
  <c r="E51"/>
  <c r="J120" i="36"/>
  <c r="E52" i="8"/>
  <c r="E55"/>
  <c r="E54"/>
  <c r="E56"/>
  <c r="J123" i="36"/>
  <c r="J126"/>
  <c r="E53" i="8"/>
  <c r="E75"/>
  <c r="D49"/>
  <c r="D50"/>
  <c r="D51"/>
  <c r="I120" i="36"/>
  <c r="D52" i="8"/>
  <c r="D55"/>
  <c r="D54"/>
  <c r="D56"/>
  <c r="I123" i="36"/>
  <c r="I126"/>
  <c r="D53" i="8"/>
  <c r="D75"/>
  <c r="C49"/>
  <c r="C50"/>
  <c r="C51"/>
  <c r="H120" i="36"/>
  <c r="C52" i="8"/>
  <c r="C55"/>
  <c r="C54"/>
  <c r="C56"/>
  <c r="H123" i="36"/>
  <c r="H126"/>
  <c r="C53" i="8"/>
  <c r="C75"/>
  <c r="B49"/>
  <c r="B50"/>
  <c r="B51"/>
  <c r="G120" i="36"/>
  <c r="B52" i="8"/>
  <c r="B55"/>
  <c r="B54"/>
  <c r="B56"/>
  <c r="G123" i="36"/>
  <c r="G126"/>
  <c r="B53" i="8"/>
  <c r="B75"/>
  <c r="B47" i="25"/>
  <c r="K59" i="8"/>
  <c r="K74"/>
  <c r="B46" i="25"/>
  <c r="J59" i="8"/>
  <c r="J74"/>
  <c r="B45" i="25"/>
  <c r="I59" i="8"/>
  <c r="I74"/>
  <c r="B44" i="25"/>
  <c r="H59" i="8"/>
  <c r="H74"/>
  <c r="B43" i="25"/>
  <c r="G59" i="8"/>
  <c r="G74"/>
  <c r="B42" i="25"/>
  <c r="F59" i="8"/>
  <c r="F74"/>
  <c r="B41" i="25"/>
  <c r="E59" i="8"/>
  <c r="E74"/>
  <c r="B40" i="25"/>
  <c r="D59" i="8"/>
  <c r="D74"/>
  <c r="B39" i="25"/>
  <c r="C59" i="8"/>
  <c r="C74"/>
  <c r="B38" i="25"/>
  <c r="B59" i="8"/>
  <c r="B74"/>
  <c r="K57"/>
  <c r="K73"/>
  <c r="J57"/>
  <c r="J73"/>
  <c r="I57"/>
  <c r="I73"/>
  <c r="H57"/>
  <c r="H73"/>
  <c r="G57"/>
  <c r="G73"/>
  <c r="F57"/>
  <c r="F73"/>
  <c r="E57"/>
  <c r="E73"/>
  <c r="D57"/>
  <c r="D73"/>
  <c r="C57"/>
  <c r="C73"/>
  <c r="B57"/>
  <c r="B73"/>
  <c r="K72"/>
  <c r="J72"/>
  <c r="I72"/>
  <c r="H72"/>
  <c r="G72"/>
  <c r="F72"/>
  <c r="E72"/>
  <c r="D72"/>
  <c r="C72"/>
  <c r="B72"/>
  <c r="K71"/>
  <c r="J71"/>
  <c r="I71"/>
  <c r="H71"/>
  <c r="G71"/>
  <c r="F71"/>
  <c r="E71"/>
  <c r="D71"/>
  <c r="C71"/>
  <c r="B71"/>
  <c r="K70"/>
  <c r="J70"/>
  <c r="I70"/>
  <c r="H70"/>
  <c r="G70"/>
  <c r="F70"/>
  <c r="E70"/>
  <c r="D70"/>
  <c r="C70"/>
  <c r="B70"/>
  <c r="K69"/>
  <c r="J69"/>
  <c r="I69"/>
  <c r="H69"/>
  <c r="G69"/>
  <c r="F69"/>
  <c r="E69"/>
  <c r="D69"/>
  <c r="C69"/>
  <c r="B69"/>
  <c r="K68"/>
  <c r="J68"/>
  <c r="I68"/>
  <c r="H68"/>
  <c r="G68"/>
  <c r="F68"/>
  <c r="E68"/>
  <c r="D68"/>
  <c r="C68"/>
  <c r="B68"/>
  <c r="A43"/>
  <c r="A42"/>
  <c r="A41"/>
  <c r="K14"/>
  <c r="K15"/>
  <c r="K16"/>
  <c r="P109" i="36"/>
  <c r="K17" i="8"/>
  <c r="K20"/>
  <c r="K19"/>
  <c r="K21"/>
  <c r="P112" i="36"/>
  <c r="P115"/>
  <c r="K18" i="8"/>
  <c r="K40"/>
  <c r="J14"/>
  <c r="J15"/>
  <c r="J16"/>
  <c r="O109" i="36"/>
  <c r="J17" i="8"/>
  <c r="J20"/>
  <c r="J19"/>
  <c r="J21"/>
  <c r="O112" i="36"/>
  <c r="O115"/>
  <c r="J18" i="8"/>
  <c r="J40"/>
  <c r="I14"/>
  <c r="I15"/>
  <c r="I16"/>
  <c r="N109" i="36"/>
  <c r="I17" i="8"/>
  <c r="I20"/>
  <c r="I19"/>
  <c r="I21"/>
  <c r="N112" i="36"/>
  <c r="N115"/>
  <c r="I18" i="8"/>
  <c r="I40"/>
  <c r="H14"/>
  <c r="H15"/>
  <c r="H16"/>
  <c r="M109" i="36"/>
  <c r="H17" i="8"/>
  <c r="H20"/>
  <c r="H19"/>
  <c r="H21"/>
  <c r="M112" i="36"/>
  <c r="M115"/>
  <c r="H18" i="8"/>
  <c r="H40"/>
  <c r="G14"/>
  <c r="G15"/>
  <c r="G16"/>
  <c r="L109" i="36"/>
  <c r="G17" i="8"/>
  <c r="G20"/>
  <c r="G19"/>
  <c r="G21"/>
  <c r="L112" i="36"/>
  <c r="L115"/>
  <c r="G18" i="8"/>
  <c r="G40"/>
  <c r="F14"/>
  <c r="F15"/>
  <c r="F16"/>
  <c r="K109" i="36"/>
  <c r="F17" i="8"/>
  <c r="F20"/>
  <c r="F19"/>
  <c r="F21"/>
  <c r="K112" i="36"/>
  <c r="K115"/>
  <c r="F18" i="8"/>
  <c r="F40"/>
  <c r="E14"/>
  <c r="E15"/>
  <c r="E16"/>
  <c r="J109" i="36"/>
  <c r="E17" i="8"/>
  <c r="E20"/>
  <c r="E19"/>
  <c r="E21"/>
  <c r="J112" i="36"/>
  <c r="J115"/>
  <c r="E18" i="8"/>
  <c r="E40"/>
  <c r="D14"/>
  <c r="D15"/>
  <c r="D16"/>
  <c r="I109" i="36"/>
  <c r="D17" i="8"/>
  <c r="D20"/>
  <c r="D19"/>
  <c r="D21"/>
  <c r="I112" i="36"/>
  <c r="I115"/>
  <c r="D18" i="8"/>
  <c r="D40"/>
  <c r="C14"/>
  <c r="C15"/>
  <c r="C16"/>
  <c r="H109" i="36"/>
  <c r="C17" i="8"/>
  <c r="C20"/>
  <c r="C19"/>
  <c r="C21"/>
  <c r="H112" i="36"/>
  <c r="H115"/>
  <c r="C18" i="8"/>
  <c r="C40"/>
  <c r="G112" i="36"/>
  <c r="G115"/>
  <c r="B18" i="8"/>
  <c r="B40"/>
  <c r="B37" i="25"/>
  <c r="K24" i="8"/>
  <c r="K39"/>
  <c r="B36" i="25"/>
  <c r="J24" i="8"/>
  <c r="J39"/>
  <c r="B35" i="25"/>
  <c r="I24" i="8"/>
  <c r="I39"/>
  <c r="B34" i="25"/>
  <c r="H24" i="8"/>
  <c r="H39"/>
  <c r="B33" i="25"/>
  <c r="G24" i="8"/>
  <c r="G39"/>
  <c r="B32" i="25"/>
  <c r="F24" i="8"/>
  <c r="F39"/>
  <c r="B31" i="25"/>
  <c r="E24" i="8"/>
  <c r="E39"/>
  <c r="B30" i="25"/>
  <c r="D24" i="8"/>
  <c r="D39"/>
  <c r="B29" i="25"/>
  <c r="C24" i="8"/>
  <c r="C39"/>
  <c r="B28" i="25"/>
  <c r="B24" i="8"/>
  <c r="B39"/>
  <c r="K22"/>
  <c r="K38"/>
  <c r="J22"/>
  <c r="J38"/>
  <c r="I22"/>
  <c r="I38"/>
  <c r="H22"/>
  <c r="H38"/>
  <c r="G22"/>
  <c r="G38"/>
  <c r="F22"/>
  <c r="F38"/>
  <c r="E22"/>
  <c r="E38"/>
  <c r="D22"/>
  <c r="D38"/>
  <c r="C22"/>
  <c r="C38"/>
  <c r="B22"/>
  <c r="B38"/>
  <c r="K37"/>
  <c r="J37"/>
  <c r="I37"/>
  <c r="H37"/>
  <c r="G37"/>
  <c r="F37"/>
  <c r="E37"/>
  <c r="D37"/>
  <c r="C37"/>
  <c r="B37"/>
  <c r="K36"/>
  <c r="J36"/>
  <c r="I36"/>
  <c r="H36"/>
  <c r="G36"/>
  <c r="F36"/>
  <c r="E36"/>
  <c r="D36"/>
  <c r="C36"/>
  <c r="B36"/>
  <c r="K35"/>
  <c r="J35"/>
  <c r="I35"/>
  <c r="H35"/>
  <c r="G35"/>
  <c r="F35"/>
  <c r="E35"/>
  <c r="D35"/>
  <c r="C35"/>
  <c r="B35"/>
  <c r="K34"/>
  <c r="J34"/>
  <c r="I34"/>
  <c r="H34"/>
  <c r="G34"/>
  <c r="F34"/>
  <c r="E34"/>
  <c r="D34"/>
  <c r="C34"/>
  <c r="B34"/>
  <c r="K33"/>
  <c r="J33"/>
  <c r="I33"/>
  <c r="H33"/>
  <c r="G33"/>
  <c r="F33"/>
  <c r="E33"/>
  <c r="D33"/>
  <c r="C33"/>
  <c r="B33"/>
  <c r="K7"/>
  <c r="K6"/>
  <c r="K5"/>
  <c r="A1"/>
  <c r="P166" i="36"/>
  <c r="J160"/>
  <c r="J159"/>
  <c r="N158"/>
  <c r="J158"/>
  <c r="N150"/>
  <c r="N149"/>
  <c r="Y92"/>
  <c r="Y93"/>
  <c r="Y94"/>
  <c r="Y95"/>
  <c r="Y96"/>
  <c r="Y97"/>
  <c r="Y98"/>
  <c r="Z92"/>
  <c r="Z93"/>
  <c r="Z94"/>
  <c r="Z95"/>
  <c r="Z96"/>
  <c r="Z97"/>
  <c r="Z98"/>
  <c r="AA92"/>
  <c r="AA93"/>
  <c r="AA94"/>
  <c r="AA95"/>
  <c r="AA96"/>
  <c r="AA97"/>
  <c r="AA98"/>
  <c r="AB92"/>
  <c r="AB93"/>
  <c r="AB94"/>
  <c r="AB95"/>
  <c r="AB96"/>
  <c r="AB97"/>
  <c r="AB98"/>
  <c r="AC92"/>
  <c r="AC93"/>
  <c r="AC94"/>
  <c r="AC95"/>
  <c r="AC96"/>
  <c r="AC97"/>
  <c r="AC98"/>
  <c r="AD98"/>
  <c r="Q98"/>
  <c r="AD97"/>
  <c r="Q97"/>
  <c r="AD96"/>
  <c r="Q96"/>
  <c r="AD95"/>
  <c r="Q95"/>
  <c r="AD94"/>
  <c r="Q94"/>
  <c r="AD93"/>
  <c r="M93"/>
  <c r="Q93"/>
  <c r="AD92"/>
  <c r="M92"/>
  <c r="Q92"/>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Y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Z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4"/>
  <c r="FF45"/>
  <c r="FF46"/>
  <c r="FF47"/>
  <c r="FF48"/>
  <c r="AA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4"/>
  <c r="FG45"/>
  <c r="FG46"/>
  <c r="FG47"/>
  <c r="FG48"/>
  <c r="AB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4"/>
  <c r="FH45"/>
  <c r="FH46"/>
  <c r="FH47"/>
  <c r="FH48"/>
  <c r="AC89"/>
  <c r="AD89"/>
  <c r="H89"/>
  <c r="I89"/>
  <c r="J89"/>
  <c r="K89"/>
  <c r="L89"/>
  <c r="M89"/>
  <c r="Q89"/>
  <c r="FI10"/>
  <c r="FI11"/>
  <c r="FI12"/>
  <c r="FI13"/>
  <c r="FI14"/>
  <c r="FI15"/>
  <c r="FI16"/>
  <c r="FI17"/>
  <c r="FI18"/>
  <c r="FI19"/>
  <c r="FI20"/>
  <c r="FI21"/>
  <c r="FI22"/>
  <c r="FI23"/>
  <c r="FI24"/>
  <c r="FI25"/>
  <c r="FI26"/>
  <c r="FI27"/>
  <c r="FI28"/>
  <c r="FI29"/>
  <c r="FI30"/>
  <c r="FI31"/>
  <c r="FI32"/>
  <c r="FI33"/>
  <c r="FI34"/>
  <c r="FI35"/>
  <c r="FI36"/>
  <c r="FI37"/>
  <c r="FI38"/>
  <c r="FI39"/>
  <c r="FI40"/>
  <c r="FI41"/>
  <c r="FI42"/>
  <c r="FI43"/>
  <c r="FI44"/>
  <c r="FI45"/>
  <c r="FI46"/>
  <c r="FI47"/>
  <c r="FI48"/>
  <c r="Y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4"/>
  <c r="FJ45"/>
  <c r="FJ46"/>
  <c r="FJ47"/>
  <c r="FJ48"/>
  <c r="Z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AA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AB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4"/>
  <c r="FM45"/>
  <c r="FM46"/>
  <c r="FM47"/>
  <c r="FM48"/>
  <c r="AC88"/>
  <c r="AD88"/>
  <c r="H88"/>
  <c r="I88"/>
  <c r="J88"/>
  <c r="K88"/>
  <c r="L88"/>
  <c r="M88"/>
  <c r="Q88"/>
  <c r="FN10"/>
  <c r="FN11"/>
  <c r="FN12"/>
  <c r="FN13"/>
  <c r="FN14"/>
  <c r="FN15"/>
  <c r="FN16"/>
  <c r="FN17"/>
  <c r="FN18"/>
  <c r="FN19"/>
  <c r="FN20"/>
  <c r="FN21"/>
  <c r="FN22"/>
  <c r="FN23"/>
  <c r="FN24"/>
  <c r="FN25"/>
  <c r="FN26"/>
  <c r="FN27"/>
  <c r="FN28"/>
  <c r="FN29"/>
  <c r="FN30"/>
  <c r="FN31"/>
  <c r="FN32"/>
  <c r="FN33"/>
  <c r="FN34"/>
  <c r="FN35"/>
  <c r="FN36"/>
  <c r="FN37"/>
  <c r="FN38"/>
  <c r="FN39"/>
  <c r="FN40"/>
  <c r="FN41"/>
  <c r="FN42"/>
  <c r="FN43"/>
  <c r="FN44"/>
  <c r="FN45"/>
  <c r="FN46"/>
  <c r="FN47"/>
  <c r="FN48"/>
  <c r="Y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4"/>
  <c r="FO45"/>
  <c r="FO46"/>
  <c r="FO47"/>
  <c r="FO48"/>
  <c r="Z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4"/>
  <c r="FP45"/>
  <c r="FP46"/>
  <c r="FP47"/>
  <c r="FP48"/>
  <c r="AA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4"/>
  <c r="FQ45"/>
  <c r="FQ46"/>
  <c r="FQ47"/>
  <c r="FQ48"/>
  <c r="AB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4"/>
  <c r="FR45"/>
  <c r="FR46"/>
  <c r="FR47"/>
  <c r="FR48"/>
  <c r="AC87"/>
  <c r="AD87"/>
  <c r="H87"/>
  <c r="I87"/>
  <c r="J87"/>
  <c r="K87"/>
  <c r="L87"/>
  <c r="M87"/>
  <c r="Q8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4"/>
  <c r="EY45"/>
  <c r="EY46"/>
  <c r="EY47"/>
  <c r="EY48"/>
  <c r="Y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4"/>
  <c r="EZ45"/>
  <c r="EZ46"/>
  <c r="EZ47"/>
  <c r="EZ48"/>
  <c r="Z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AA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AB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AC86"/>
  <c r="AD86"/>
  <c r="H86"/>
  <c r="I86"/>
  <c r="J86"/>
  <c r="K86"/>
  <c r="L86"/>
  <c r="M86"/>
  <c r="Q86"/>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Y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EU48"/>
  <c r="Z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AA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4"/>
  <c r="EW45"/>
  <c r="EW46"/>
  <c r="EW47"/>
  <c r="EW48"/>
  <c r="AB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4"/>
  <c r="EX45"/>
  <c r="EX46"/>
  <c r="EX47"/>
  <c r="EX48"/>
  <c r="AC85"/>
  <c r="AD85"/>
  <c r="H85"/>
  <c r="I85"/>
  <c r="J85"/>
  <c r="K85"/>
  <c r="L85"/>
  <c r="M85"/>
  <c r="Q85"/>
  <c r="Y79"/>
  <c r="Y80"/>
  <c r="Y81"/>
  <c r="Z79"/>
  <c r="Z80"/>
  <c r="Z81"/>
  <c r="AA79"/>
  <c r="AA80"/>
  <c r="AA81"/>
  <c r="AB79"/>
  <c r="AB80"/>
  <c r="AB81"/>
  <c r="AC79"/>
  <c r="AC80"/>
  <c r="AC81"/>
  <c r="AD81"/>
  <c r="Q81"/>
  <c r="AD80"/>
  <c r="M80"/>
  <c r="Q80"/>
  <c r="AD79"/>
  <c r="M79"/>
  <c r="Q79"/>
  <c r="Y76"/>
  <c r="Y77"/>
  <c r="Y78"/>
  <c r="Z76"/>
  <c r="Z77"/>
  <c r="Z78"/>
  <c r="AA76"/>
  <c r="AA77"/>
  <c r="AA78"/>
  <c r="AB76"/>
  <c r="AB77"/>
  <c r="AB78"/>
  <c r="AC76"/>
  <c r="AC77"/>
  <c r="AC78"/>
  <c r="AD78"/>
  <c r="Q78"/>
  <c r="AD77"/>
  <c r="M77"/>
  <c r="Q77"/>
  <c r="AD76"/>
  <c r="M76"/>
  <c r="Q76"/>
  <c r="Y73"/>
  <c r="Y74"/>
  <c r="Y75"/>
  <c r="Z73"/>
  <c r="Z74"/>
  <c r="Z75"/>
  <c r="AA73"/>
  <c r="AA74"/>
  <c r="AA75"/>
  <c r="AB73"/>
  <c r="AB74"/>
  <c r="AB75"/>
  <c r="AC73"/>
  <c r="AC74"/>
  <c r="AC75"/>
  <c r="AD75"/>
  <c r="Q75"/>
  <c r="AD74"/>
  <c r="M74"/>
  <c r="Q74"/>
  <c r="AD73"/>
  <c r="M73"/>
  <c r="Q73"/>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Y71"/>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Z71"/>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AA71"/>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AB71"/>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AC71"/>
  <c r="AD71"/>
  <c r="H69"/>
  <c r="H70"/>
  <c r="H71"/>
  <c r="I69"/>
  <c r="I70"/>
  <c r="I71"/>
  <c r="J69"/>
  <c r="J70"/>
  <c r="J71"/>
  <c r="K69"/>
  <c r="K70"/>
  <c r="K71"/>
  <c r="L69"/>
  <c r="L70"/>
  <c r="L71"/>
  <c r="M71"/>
  <c r="Q71"/>
  <c r="AD70"/>
  <c r="M70"/>
  <c r="Q70"/>
  <c r="AD69"/>
  <c r="M69"/>
  <c r="Q69"/>
  <c r="Y65"/>
  <c r="Y66"/>
  <c r="Y67"/>
  <c r="Z65"/>
  <c r="Z66"/>
  <c r="Z67"/>
  <c r="AA65"/>
  <c r="AA66"/>
  <c r="AA67"/>
  <c r="AB65"/>
  <c r="AB66"/>
  <c r="AB67"/>
  <c r="AC65"/>
  <c r="AC66"/>
  <c r="AC67"/>
  <c r="AD67"/>
  <c r="H67"/>
  <c r="I67"/>
  <c r="J67"/>
  <c r="K67"/>
  <c r="L67"/>
  <c r="M67"/>
  <c r="Q67"/>
  <c r="AD66"/>
  <c r="Q66"/>
  <c r="AD65"/>
  <c r="Q65"/>
  <c r="Y57"/>
  <c r="Y58"/>
  <c r="Y59"/>
  <c r="Y60"/>
  <c r="Y61"/>
  <c r="Y62"/>
  <c r="Y63"/>
  <c r="Z57"/>
  <c r="Z58"/>
  <c r="Z59"/>
  <c r="Z60"/>
  <c r="Z61"/>
  <c r="Z62"/>
  <c r="Z63"/>
  <c r="AA57"/>
  <c r="AA58"/>
  <c r="AA59"/>
  <c r="AA60"/>
  <c r="AA61"/>
  <c r="AA62"/>
  <c r="AA63"/>
  <c r="AB57"/>
  <c r="AB58"/>
  <c r="AB59"/>
  <c r="AB60"/>
  <c r="AB61"/>
  <c r="AB62"/>
  <c r="AB63"/>
  <c r="AC57"/>
  <c r="AC58"/>
  <c r="AC59"/>
  <c r="AC60"/>
  <c r="AC61"/>
  <c r="AC62"/>
  <c r="AC63"/>
  <c r="AD63"/>
  <c r="Q63"/>
  <c r="AD62"/>
  <c r="Q62"/>
  <c r="AD61"/>
  <c r="Q61"/>
  <c r="AD60"/>
  <c r="Q60"/>
  <c r="AD59"/>
  <c r="Q59"/>
  <c r="AD58"/>
  <c r="Q58"/>
  <c r="AD57"/>
  <c r="Q57"/>
  <c r="Q54"/>
  <c r="HK10"/>
  <c r="HK11"/>
  <c r="HK12"/>
  <c r="HK13"/>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J10"/>
  <c r="HJ11"/>
  <c r="HJ12"/>
  <c r="HJ13"/>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I10"/>
  <c r="HI11"/>
  <c r="HI12"/>
  <c r="HI13"/>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H10"/>
  <c r="HH11"/>
  <c r="HH12"/>
  <c r="HH13"/>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G10"/>
  <c r="HG11"/>
  <c r="HG12"/>
  <c r="HG13"/>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F10"/>
  <c r="HF11"/>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HE10"/>
  <c r="HE11"/>
  <c r="HE12"/>
  <c r="HE13"/>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D10"/>
  <c r="HD11"/>
  <c r="HD12"/>
  <c r="HD13"/>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C10"/>
  <c r="HC11"/>
  <c r="HC12"/>
  <c r="HC13"/>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B10"/>
  <c r="HB11"/>
  <c r="HB12"/>
  <c r="HB13"/>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A10"/>
  <c r="HA11"/>
  <c r="HA12"/>
  <c r="HA13"/>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GZ10"/>
  <c r="GZ11"/>
  <c r="GZ12"/>
  <c r="GZ13"/>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GY10"/>
  <c r="GY11"/>
  <c r="GY12"/>
  <c r="GY13"/>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Q10"/>
  <c r="GQ11"/>
  <c r="GQ12"/>
  <c r="GQ13"/>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GP10"/>
  <c r="GP11"/>
  <c r="GP12"/>
  <c r="GP13"/>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O10"/>
  <c r="GO11"/>
  <c r="GO12"/>
  <c r="GO13"/>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N10"/>
  <c r="GN11"/>
  <c r="GN12"/>
  <c r="GN13"/>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M10"/>
  <c r="GM11"/>
  <c r="GM12"/>
  <c r="GM13"/>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L10"/>
  <c r="GL11"/>
  <c r="GL12"/>
  <c r="GL13"/>
  <c r="GL14"/>
  <c r="GL15"/>
  <c r="GL16"/>
  <c r="GL17"/>
  <c r="GL18"/>
  <c r="GL19"/>
  <c r="GL20"/>
  <c r="GL21"/>
  <c r="GL22"/>
  <c r="GL23"/>
  <c r="GL24"/>
  <c r="GL25"/>
  <c r="GL26"/>
  <c r="GL27"/>
  <c r="GL28"/>
  <c r="GL29"/>
  <c r="GL30"/>
  <c r="GL31"/>
  <c r="GL32"/>
  <c r="GL33"/>
  <c r="GL34"/>
  <c r="GL35"/>
  <c r="GL36"/>
  <c r="GL37"/>
  <c r="GL38"/>
  <c r="GL39"/>
  <c r="GL40"/>
  <c r="GL41"/>
  <c r="GL42"/>
  <c r="GL43"/>
  <c r="GL44"/>
  <c r="GL45"/>
  <c r="GL46"/>
  <c r="GL47"/>
  <c r="GL48"/>
  <c r="GK10"/>
  <c r="GK11"/>
  <c r="GK12"/>
  <c r="GK13"/>
  <c r="GK14"/>
  <c r="GK15"/>
  <c r="GK16"/>
  <c r="GK17"/>
  <c r="GK18"/>
  <c r="GK19"/>
  <c r="GK20"/>
  <c r="GK21"/>
  <c r="GK22"/>
  <c r="GK23"/>
  <c r="GK24"/>
  <c r="GK25"/>
  <c r="GK26"/>
  <c r="GK27"/>
  <c r="GK28"/>
  <c r="GK29"/>
  <c r="GK30"/>
  <c r="GK31"/>
  <c r="GK32"/>
  <c r="GK33"/>
  <c r="GK34"/>
  <c r="GK35"/>
  <c r="GK36"/>
  <c r="GK37"/>
  <c r="GK38"/>
  <c r="GK39"/>
  <c r="GK40"/>
  <c r="GK41"/>
  <c r="GK42"/>
  <c r="GK43"/>
  <c r="GK44"/>
  <c r="GK45"/>
  <c r="GK46"/>
  <c r="GK47"/>
  <c r="GK48"/>
  <c r="GJ10"/>
  <c r="GJ11"/>
  <c r="GJ12"/>
  <c r="GJ13"/>
  <c r="GJ14"/>
  <c r="GJ15"/>
  <c r="GJ16"/>
  <c r="GJ17"/>
  <c r="GJ18"/>
  <c r="GJ19"/>
  <c r="GJ20"/>
  <c r="GJ21"/>
  <c r="GJ22"/>
  <c r="GJ23"/>
  <c r="GJ24"/>
  <c r="GJ25"/>
  <c r="GJ26"/>
  <c r="GJ27"/>
  <c r="GJ28"/>
  <c r="GJ29"/>
  <c r="GJ30"/>
  <c r="GJ31"/>
  <c r="GJ32"/>
  <c r="GJ33"/>
  <c r="GJ34"/>
  <c r="GJ35"/>
  <c r="GJ36"/>
  <c r="GJ37"/>
  <c r="GJ38"/>
  <c r="GJ39"/>
  <c r="GJ40"/>
  <c r="GJ41"/>
  <c r="GJ42"/>
  <c r="GJ43"/>
  <c r="GJ44"/>
  <c r="GJ45"/>
  <c r="GJ46"/>
  <c r="GJ47"/>
  <c r="GJ48"/>
  <c r="GI10"/>
  <c r="GI11"/>
  <c r="GI12"/>
  <c r="GI13"/>
  <c r="GI14"/>
  <c r="GI15"/>
  <c r="GI16"/>
  <c r="GI17"/>
  <c r="GI18"/>
  <c r="GI19"/>
  <c r="GI20"/>
  <c r="GI21"/>
  <c r="GI22"/>
  <c r="GI23"/>
  <c r="GI24"/>
  <c r="GI25"/>
  <c r="GI26"/>
  <c r="GI27"/>
  <c r="GI28"/>
  <c r="GI29"/>
  <c r="GI30"/>
  <c r="GI31"/>
  <c r="GI32"/>
  <c r="GI33"/>
  <c r="GI34"/>
  <c r="GI35"/>
  <c r="GI36"/>
  <c r="GI37"/>
  <c r="GI38"/>
  <c r="GI39"/>
  <c r="GI40"/>
  <c r="GI41"/>
  <c r="GI42"/>
  <c r="GI43"/>
  <c r="GI44"/>
  <c r="GI45"/>
  <c r="GI46"/>
  <c r="GI47"/>
  <c r="GI48"/>
  <c r="GH10"/>
  <c r="GH11"/>
  <c r="GH12"/>
  <c r="GH13"/>
  <c r="GH14"/>
  <c r="GH15"/>
  <c r="GH16"/>
  <c r="GH17"/>
  <c r="GH18"/>
  <c r="GH19"/>
  <c r="GH20"/>
  <c r="GH21"/>
  <c r="GH22"/>
  <c r="GH23"/>
  <c r="GH24"/>
  <c r="GH25"/>
  <c r="GH26"/>
  <c r="GH27"/>
  <c r="GH28"/>
  <c r="GH29"/>
  <c r="GH30"/>
  <c r="GH31"/>
  <c r="GH32"/>
  <c r="GH33"/>
  <c r="GH34"/>
  <c r="GH35"/>
  <c r="GH36"/>
  <c r="GH37"/>
  <c r="GH38"/>
  <c r="GH39"/>
  <c r="GH40"/>
  <c r="GH41"/>
  <c r="GH42"/>
  <c r="GH43"/>
  <c r="GH44"/>
  <c r="GH45"/>
  <c r="GH46"/>
  <c r="GH47"/>
  <c r="GH48"/>
  <c r="GG10"/>
  <c r="GG11"/>
  <c r="GG12"/>
  <c r="GG13"/>
  <c r="GG14"/>
  <c r="GG15"/>
  <c r="GG16"/>
  <c r="GG17"/>
  <c r="GG18"/>
  <c r="GG19"/>
  <c r="GG20"/>
  <c r="GG21"/>
  <c r="GG22"/>
  <c r="GG23"/>
  <c r="GG24"/>
  <c r="GG25"/>
  <c r="GG26"/>
  <c r="GG27"/>
  <c r="GG28"/>
  <c r="GG29"/>
  <c r="GG30"/>
  <c r="GG31"/>
  <c r="GG32"/>
  <c r="GG33"/>
  <c r="GG34"/>
  <c r="GG35"/>
  <c r="GG36"/>
  <c r="GG37"/>
  <c r="GG38"/>
  <c r="GG39"/>
  <c r="GG40"/>
  <c r="GG41"/>
  <c r="GG42"/>
  <c r="GG43"/>
  <c r="GG44"/>
  <c r="GG45"/>
  <c r="GG46"/>
  <c r="GG47"/>
  <c r="GG48"/>
  <c r="GF10"/>
  <c r="GF11"/>
  <c r="GF12"/>
  <c r="GF13"/>
  <c r="GF14"/>
  <c r="GF15"/>
  <c r="GF16"/>
  <c r="GF17"/>
  <c r="GF18"/>
  <c r="GF19"/>
  <c r="GF20"/>
  <c r="GF21"/>
  <c r="GF22"/>
  <c r="GF23"/>
  <c r="GF24"/>
  <c r="GF25"/>
  <c r="GF26"/>
  <c r="GF27"/>
  <c r="GF28"/>
  <c r="GF29"/>
  <c r="GF30"/>
  <c r="GF31"/>
  <c r="GF32"/>
  <c r="GF33"/>
  <c r="GF34"/>
  <c r="GF35"/>
  <c r="GF36"/>
  <c r="GF37"/>
  <c r="GF38"/>
  <c r="GF39"/>
  <c r="GF40"/>
  <c r="GF41"/>
  <c r="GF42"/>
  <c r="GF43"/>
  <c r="GF44"/>
  <c r="GF45"/>
  <c r="GF46"/>
  <c r="GF47"/>
  <c r="GF48"/>
  <c r="GE10"/>
  <c r="GE11"/>
  <c r="GE12"/>
  <c r="GE13"/>
  <c r="GE14"/>
  <c r="GE15"/>
  <c r="GE16"/>
  <c r="GE17"/>
  <c r="GE18"/>
  <c r="GE19"/>
  <c r="GE20"/>
  <c r="GE21"/>
  <c r="GE22"/>
  <c r="GE23"/>
  <c r="GE24"/>
  <c r="GE25"/>
  <c r="GE26"/>
  <c r="GE27"/>
  <c r="GE28"/>
  <c r="GE29"/>
  <c r="GE30"/>
  <c r="GE31"/>
  <c r="GE32"/>
  <c r="GE33"/>
  <c r="GE34"/>
  <c r="GE35"/>
  <c r="GE36"/>
  <c r="GE37"/>
  <c r="GE38"/>
  <c r="GE39"/>
  <c r="GE40"/>
  <c r="GE41"/>
  <c r="GE42"/>
  <c r="GE43"/>
  <c r="GE44"/>
  <c r="GE45"/>
  <c r="GE46"/>
  <c r="GE47"/>
  <c r="GE48"/>
  <c r="GD10"/>
  <c r="GD11"/>
  <c r="GD12"/>
  <c r="GD13"/>
  <c r="GD14"/>
  <c r="GD15"/>
  <c r="GD16"/>
  <c r="GD17"/>
  <c r="GD18"/>
  <c r="GD19"/>
  <c r="GD20"/>
  <c r="GD21"/>
  <c r="GD22"/>
  <c r="GD23"/>
  <c r="GD24"/>
  <c r="GD25"/>
  <c r="GD26"/>
  <c r="GD27"/>
  <c r="GD28"/>
  <c r="GD29"/>
  <c r="GD30"/>
  <c r="GD31"/>
  <c r="GD32"/>
  <c r="GD33"/>
  <c r="GD34"/>
  <c r="GD35"/>
  <c r="GD36"/>
  <c r="GD37"/>
  <c r="GD38"/>
  <c r="GD39"/>
  <c r="GD40"/>
  <c r="GD41"/>
  <c r="GD42"/>
  <c r="GD43"/>
  <c r="GD44"/>
  <c r="GD45"/>
  <c r="GD46"/>
  <c r="GD47"/>
  <c r="GD48"/>
  <c r="GC10"/>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GB10"/>
  <c r="GB11"/>
  <c r="GB12"/>
  <c r="GB13"/>
  <c r="GB14"/>
  <c r="GB15"/>
  <c r="GB16"/>
  <c r="GB17"/>
  <c r="GB18"/>
  <c r="GB19"/>
  <c r="GB20"/>
  <c r="GB21"/>
  <c r="GB22"/>
  <c r="GB23"/>
  <c r="GB24"/>
  <c r="GB25"/>
  <c r="GB26"/>
  <c r="GB27"/>
  <c r="GB28"/>
  <c r="GB29"/>
  <c r="GB30"/>
  <c r="GB31"/>
  <c r="GB32"/>
  <c r="GB33"/>
  <c r="GB34"/>
  <c r="GB35"/>
  <c r="GB36"/>
  <c r="GB37"/>
  <c r="GB38"/>
  <c r="GB39"/>
  <c r="GB40"/>
  <c r="GB41"/>
  <c r="GB42"/>
  <c r="GB43"/>
  <c r="GB44"/>
  <c r="GB45"/>
  <c r="GB46"/>
  <c r="GB47"/>
  <c r="GB48"/>
  <c r="GA10"/>
  <c r="GA11"/>
  <c r="GA12"/>
  <c r="GA13"/>
  <c r="GA14"/>
  <c r="GA15"/>
  <c r="GA16"/>
  <c r="GA17"/>
  <c r="GA18"/>
  <c r="GA19"/>
  <c r="GA20"/>
  <c r="GA21"/>
  <c r="GA22"/>
  <c r="GA23"/>
  <c r="GA24"/>
  <c r="GA25"/>
  <c r="GA26"/>
  <c r="GA27"/>
  <c r="GA28"/>
  <c r="GA29"/>
  <c r="GA30"/>
  <c r="GA31"/>
  <c r="GA32"/>
  <c r="GA33"/>
  <c r="GA34"/>
  <c r="GA35"/>
  <c r="GA36"/>
  <c r="GA37"/>
  <c r="GA38"/>
  <c r="GA39"/>
  <c r="GA40"/>
  <c r="GA41"/>
  <c r="GA42"/>
  <c r="GA43"/>
  <c r="GA44"/>
  <c r="GA45"/>
  <c r="GA46"/>
  <c r="GA47"/>
  <c r="GA48"/>
  <c r="FZ10"/>
  <c r="FZ11"/>
  <c r="FZ12"/>
  <c r="FZ13"/>
  <c r="FZ14"/>
  <c r="FZ15"/>
  <c r="FZ16"/>
  <c r="FZ17"/>
  <c r="FZ18"/>
  <c r="FZ19"/>
  <c r="FZ20"/>
  <c r="FZ21"/>
  <c r="FZ22"/>
  <c r="FZ23"/>
  <c r="FZ24"/>
  <c r="FZ25"/>
  <c r="FZ26"/>
  <c r="FZ27"/>
  <c r="FZ28"/>
  <c r="FZ29"/>
  <c r="FZ30"/>
  <c r="FZ31"/>
  <c r="FZ32"/>
  <c r="FZ33"/>
  <c r="FZ34"/>
  <c r="FZ35"/>
  <c r="FZ36"/>
  <c r="FZ37"/>
  <c r="FZ38"/>
  <c r="FZ39"/>
  <c r="FZ40"/>
  <c r="FZ41"/>
  <c r="FZ42"/>
  <c r="FZ43"/>
  <c r="FZ44"/>
  <c r="FZ45"/>
  <c r="FZ46"/>
  <c r="FZ47"/>
  <c r="FZ48"/>
  <c r="FY10"/>
  <c r="FY11"/>
  <c r="FY12"/>
  <c r="FY13"/>
  <c r="FY14"/>
  <c r="FY15"/>
  <c r="FY16"/>
  <c r="FY17"/>
  <c r="FY18"/>
  <c r="FY19"/>
  <c r="FY20"/>
  <c r="FY21"/>
  <c r="FY22"/>
  <c r="FY23"/>
  <c r="FY24"/>
  <c r="FY25"/>
  <c r="FY26"/>
  <c r="FY27"/>
  <c r="FY28"/>
  <c r="FY29"/>
  <c r="FY30"/>
  <c r="FY31"/>
  <c r="FY32"/>
  <c r="FY33"/>
  <c r="FY34"/>
  <c r="FY35"/>
  <c r="FY36"/>
  <c r="FY37"/>
  <c r="FY38"/>
  <c r="FY39"/>
  <c r="FY40"/>
  <c r="FY41"/>
  <c r="FY42"/>
  <c r="FY43"/>
  <c r="FY44"/>
  <c r="FY45"/>
  <c r="FY46"/>
  <c r="FY47"/>
  <c r="FY48"/>
  <c r="FX10"/>
  <c r="FX11"/>
  <c r="FX12"/>
  <c r="FX13"/>
  <c r="FX14"/>
  <c r="FX15"/>
  <c r="FX16"/>
  <c r="FX17"/>
  <c r="FX18"/>
  <c r="FX19"/>
  <c r="FX20"/>
  <c r="FX21"/>
  <c r="FX22"/>
  <c r="FX23"/>
  <c r="FX24"/>
  <c r="FX25"/>
  <c r="FX26"/>
  <c r="FX27"/>
  <c r="FX28"/>
  <c r="FX29"/>
  <c r="FX30"/>
  <c r="FX31"/>
  <c r="FX32"/>
  <c r="FX33"/>
  <c r="FX34"/>
  <c r="FX35"/>
  <c r="FX36"/>
  <c r="FX37"/>
  <c r="FX38"/>
  <c r="FX39"/>
  <c r="FX40"/>
  <c r="FX41"/>
  <c r="FX42"/>
  <c r="FX43"/>
  <c r="FX44"/>
  <c r="FX45"/>
  <c r="FX46"/>
  <c r="FX47"/>
  <c r="FX48"/>
  <c r="FW10"/>
  <c r="FW11"/>
  <c r="FW12"/>
  <c r="FW13"/>
  <c r="FW14"/>
  <c r="FW15"/>
  <c r="FW16"/>
  <c r="FW17"/>
  <c r="FW18"/>
  <c r="FW19"/>
  <c r="FW20"/>
  <c r="FW21"/>
  <c r="FW22"/>
  <c r="FW23"/>
  <c r="FW24"/>
  <c r="FW25"/>
  <c r="FW26"/>
  <c r="FW27"/>
  <c r="FW28"/>
  <c r="FW29"/>
  <c r="FW30"/>
  <c r="FW31"/>
  <c r="FW32"/>
  <c r="FW33"/>
  <c r="FW34"/>
  <c r="FW35"/>
  <c r="FW36"/>
  <c r="FW37"/>
  <c r="FW38"/>
  <c r="FW39"/>
  <c r="FW40"/>
  <c r="FW41"/>
  <c r="FW42"/>
  <c r="FW43"/>
  <c r="FW44"/>
  <c r="FW45"/>
  <c r="FW46"/>
  <c r="FW47"/>
  <c r="FW48"/>
  <c r="FV10"/>
  <c r="FV11"/>
  <c r="FV12"/>
  <c r="FV13"/>
  <c r="FV14"/>
  <c r="FV15"/>
  <c r="FV16"/>
  <c r="FV17"/>
  <c r="FV18"/>
  <c r="FV19"/>
  <c r="FV20"/>
  <c r="FV21"/>
  <c r="FV22"/>
  <c r="FV23"/>
  <c r="FV24"/>
  <c r="FV25"/>
  <c r="FV26"/>
  <c r="FV27"/>
  <c r="FV28"/>
  <c r="FV29"/>
  <c r="FV30"/>
  <c r="FV31"/>
  <c r="FV32"/>
  <c r="FV33"/>
  <c r="FV34"/>
  <c r="FV35"/>
  <c r="FV36"/>
  <c r="FV37"/>
  <c r="FV38"/>
  <c r="FV39"/>
  <c r="FV40"/>
  <c r="FV41"/>
  <c r="FV42"/>
  <c r="FV43"/>
  <c r="FV44"/>
  <c r="FV45"/>
  <c r="FV46"/>
  <c r="FV47"/>
  <c r="FV48"/>
  <c r="FU10"/>
  <c r="FU11"/>
  <c r="FU12"/>
  <c r="FU13"/>
  <c r="FU14"/>
  <c r="FU15"/>
  <c r="FU16"/>
  <c r="FU17"/>
  <c r="FU18"/>
  <c r="FU19"/>
  <c r="FU20"/>
  <c r="FU21"/>
  <c r="FU22"/>
  <c r="FU23"/>
  <c r="FU24"/>
  <c r="FU25"/>
  <c r="FU26"/>
  <c r="FU27"/>
  <c r="FU28"/>
  <c r="FU29"/>
  <c r="FU30"/>
  <c r="FU31"/>
  <c r="FU32"/>
  <c r="FU33"/>
  <c r="FU34"/>
  <c r="FU35"/>
  <c r="FU36"/>
  <c r="FU37"/>
  <c r="FU38"/>
  <c r="FU39"/>
  <c r="FU40"/>
  <c r="FU41"/>
  <c r="FU42"/>
  <c r="FU43"/>
  <c r="FU44"/>
  <c r="FU45"/>
  <c r="FU46"/>
  <c r="FU47"/>
  <c r="FU48"/>
  <c r="FT10"/>
  <c r="FT11"/>
  <c r="FT12"/>
  <c r="FT13"/>
  <c r="FT14"/>
  <c r="FT15"/>
  <c r="FT16"/>
  <c r="FT17"/>
  <c r="FT18"/>
  <c r="FT19"/>
  <c r="FT20"/>
  <c r="FT21"/>
  <c r="FT22"/>
  <c r="FT23"/>
  <c r="FT24"/>
  <c r="FT25"/>
  <c r="FT26"/>
  <c r="FT27"/>
  <c r="FT28"/>
  <c r="FT29"/>
  <c r="FT30"/>
  <c r="FT31"/>
  <c r="FT32"/>
  <c r="FT33"/>
  <c r="FT34"/>
  <c r="FT35"/>
  <c r="FT36"/>
  <c r="FT37"/>
  <c r="FT38"/>
  <c r="FT39"/>
  <c r="FT40"/>
  <c r="FT41"/>
  <c r="FT42"/>
  <c r="FT43"/>
  <c r="FT44"/>
  <c r="FT45"/>
  <c r="FT46"/>
  <c r="FT47"/>
  <c r="FT48"/>
  <c r="FS10"/>
  <c r="FS11"/>
  <c r="FS12"/>
  <c r="FS13"/>
  <c r="FS14"/>
  <c r="FS15"/>
  <c r="FS16"/>
  <c r="FS17"/>
  <c r="FS18"/>
  <c r="FS19"/>
  <c r="FS20"/>
  <c r="FS21"/>
  <c r="FS22"/>
  <c r="FS23"/>
  <c r="FS24"/>
  <c r="FS25"/>
  <c r="FS26"/>
  <c r="FS27"/>
  <c r="FS28"/>
  <c r="FS29"/>
  <c r="FS30"/>
  <c r="FS31"/>
  <c r="FS32"/>
  <c r="FS33"/>
  <c r="FS34"/>
  <c r="FS35"/>
  <c r="FS36"/>
  <c r="FS37"/>
  <c r="FS38"/>
  <c r="FS39"/>
  <c r="FS40"/>
  <c r="FS41"/>
  <c r="FS42"/>
  <c r="FS43"/>
  <c r="FS44"/>
  <c r="FS45"/>
  <c r="FS46"/>
  <c r="FS47"/>
  <c r="FS48"/>
  <c r="CU10"/>
  <c r="CU11"/>
  <c r="CU12"/>
  <c r="CU13"/>
  <c r="CU14"/>
  <c r="CU15"/>
  <c r="CU16"/>
  <c r="CU17"/>
  <c r="CU18"/>
  <c r="CU19"/>
  <c r="CU20"/>
  <c r="CU21"/>
  <c r="CU22"/>
  <c r="CU23"/>
  <c r="CU24"/>
  <c r="CU25"/>
  <c r="CU26"/>
  <c r="CU27"/>
  <c r="CU28"/>
  <c r="CU29"/>
  <c r="CU30"/>
  <c r="CU31"/>
  <c r="CU32"/>
  <c r="CU33"/>
  <c r="CU34"/>
  <c r="CU35"/>
  <c r="CU36"/>
  <c r="CU37"/>
  <c r="CU38"/>
  <c r="CU39"/>
  <c r="CU40"/>
  <c r="CU41"/>
  <c r="CU42"/>
  <c r="CU43"/>
  <c r="CU44"/>
  <c r="CU45"/>
  <c r="CU46"/>
  <c r="CU47"/>
  <c r="CU48"/>
  <c r="CT10"/>
  <c r="CT11"/>
  <c r="CT12"/>
  <c r="CT13"/>
  <c r="CT14"/>
  <c r="CT15"/>
  <c r="CT16"/>
  <c r="CT17"/>
  <c r="CT18"/>
  <c r="CT19"/>
  <c r="CT20"/>
  <c r="CT21"/>
  <c r="CT22"/>
  <c r="CT23"/>
  <c r="CT24"/>
  <c r="CT25"/>
  <c r="CT26"/>
  <c r="CT27"/>
  <c r="CT28"/>
  <c r="CT29"/>
  <c r="CT30"/>
  <c r="CT31"/>
  <c r="CT32"/>
  <c r="CT33"/>
  <c r="CT34"/>
  <c r="CT35"/>
  <c r="CT36"/>
  <c r="CT37"/>
  <c r="CT38"/>
  <c r="CT39"/>
  <c r="CT40"/>
  <c r="CT41"/>
  <c r="CT42"/>
  <c r="CT43"/>
  <c r="CT44"/>
  <c r="CT45"/>
  <c r="CT46"/>
  <c r="CT47"/>
  <c r="CT48"/>
  <c r="CS10"/>
  <c r="CS11"/>
  <c r="CS12"/>
  <c r="CS13"/>
  <c r="CS14"/>
  <c r="CS15"/>
  <c r="CS16"/>
  <c r="CS17"/>
  <c r="CS18"/>
  <c r="CS19"/>
  <c r="CS20"/>
  <c r="CS21"/>
  <c r="CS22"/>
  <c r="CS23"/>
  <c r="CS24"/>
  <c r="CS25"/>
  <c r="CS26"/>
  <c r="CS27"/>
  <c r="CS28"/>
  <c r="CS29"/>
  <c r="CS30"/>
  <c r="CS31"/>
  <c r="CS32"/>
  <c r="CS33"/>
  <c r="CS34"/>
  <c r="CS35"/>
  <c r="CS36"/>
  <c r="CS37"/>
  <c r="CS38"/>
  <c r="CS39"/>
  <c r="CS40"/>
  <c r="CS41"/>
  <c r="CS42"/>
  <c r="CS43"/>
  <c r="CS44"/>
  <c r="CS45"/>
  <c r="CS46"/>
  <c r="CS47"/>
  <c r="CS48"/>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F10"/>
  <c r="BF11"/>
  <c r="BF12"/>
  <c r="BF13"/>
  <c r="BF14"/>
  <c r="BF15"/>
  <c r="BF16"/>
  <c r="BF17"/>
  <c r="BF18"/>
  <c r="BF19"/>
  <c r="BF20"/>
  <c r="BF21"/>
  <c r="BF22"/>
  <c r="BF23"/>
  <c r="BF24"/>
  <c r="BF25"/>
  <c r="BF26"/>
  <c r="BF27"/>
  <c r="BF28"/>
  <c r="BF29"/>
  <c r="BF30"/>
  <c r="BF31"/>
  <c r="BF32"/>
  <c r="BF33"/>
  <c r="BF34"/>
  <c r="BF35"/>
  <c r="BF36"/>
  <c r="BF37"/>
  <c r="BF38"/>
  <c r="BF39"/>
  <c r="BF40"/>
  <c r="BF41"/>
  <c r="BF42"/>
  <c r="BF43"/>
  <c r="BF44"/>
  <c r="BF45"/>
  <c r="BF46"/>
  <c r="BF47"/>
  <c r="BF48"/>
  <c r="BE10"/>
  <c r="BE11"/>
  <c r="BE12"/>
  <c r="BE13"/>
  <c r="BE14"/>
  <c r="BE15"/>
  <c r="BE16"/>
  <c r="BE17"/>
  <c r="BE18"/>
  <c r="BE19"/>
  <c r="BE20"/>
  <c r="BE21"/>
  <c r="BE22"/>
  <c r="BE23"/>
  <c r="BE24"/>
  <c r="BE25"/>
  <c r="BE26"/>
  <c r="BE27"/>
  <c r="BE28"/>
  <c r="BE29"/>
  <c r="BE30"/>
  <c r="BE31"/>
  <c r="BE32"/>
  <c r="BE33"/>
  <c r="BE34"/>
  <c r="BE35"/>
  <c r="BE36"/>
  <c r="BE37"/>
  <c r="BE38"/>
  <c r="BE39"/>
  <c r="BE40"/>
  <c r="BE41"/>
  <c r="BE42"/>
  <c r="BE43"/>
  <c r="BE44"/>
  <c r="BE45"/>
  <c r="BE46"/>
  <c r="BE47"/>
  <c r="BE48"/>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F48"/>
  <c r="E48"/>
  <c r="A10"/>
  <c r="A11"/>
  <c r="A12"/>
  <c r="A13"/>
  <c r="A14"/>
  <c r="A15"/>
  <c r="A16"/>
  <c r="A17"/>
  <c r="A18"/>
  <c r="A19"/>
  <c r="A20"/>
  <c r="A21"/>
  <c r="A22"/>
  <c r="A23"/>
  <c r="A24"/>
  <c r="A25"/>
  <c r="A26"/>
  <c r="A27"/>
  <c r="A28"/>
  <c r="A29"/>
  <c r="A30"/>
  <c r="A31"/>
  <c r="A32"/>
  <c r="A33"/>
  <c r="A34"/>
  <c r="A35"/>
  <c r="A36"/>
  <c r="A37"/>
  <c r="A38"/>
  <c r="A39"/>
  <c r="A48"/>
  <c r="A47"/>
  <c r="A46"/>
  <c r="A45"/>
  <c r="A44"/>
  <c r="A43"/>
  <c r="A42"/>
  <c r="A41"/>
  <c r="A40"/>
  <c r="A7"/>
  <c r="O3"/>
  <c r="A1"/>
  <c r="M31" i="29"/>
  <c r="L31"/>
  <c r="K31"/>
  <c r="J31"/>
  <c r="I31"/>
  <c r="M17"/>
  <c r="L17"/>
  <c r="K17"/>
  <c r="J17"/>
  <c r="I17"/>
  <c r="I3"/>
  <c r="A1"/>
  <c r="M163" i="15"/>
  <c r="J156"/>
  <c r="D125"/>
  <c r="J152"/>
  <c r="M151"/>
  <c r="M125"/>
  <c r="G125"/>
  <c r="S17"/>
  <c r="S23"/>
  <c r="S27"/>
  <c r="S32"/>
  <c r="S36"/>
  <c r="S56"/>
  <c r="S68"/>
  <c r="S74"/>
  <c r="S83"/>
  <c r="S98"/>
  <c r="S104"/>
  <c r="S109"/>
  <c r="S117"/>
  <c r="S121"/>
  <c r="S123"/>
  <c r="U120"/>
  <c r="A120"/>
  <c r="O118"/>
  <c r="U116"/>
  <c r="A116"/>
  <c r="F115"/>
  <c r="O110"/>
  <c r="C109"/>
  <c r="F108"/>
  <c r="F107"/>
  <c r="F106"/>
  <c r="O105"/>
  <c r="U103"/>
  <c r="A103"/>
  <c r="O99"/>
  <c r="U97"/>
  <c r="A97"/>
  <c r="U96"/>
  <c r="A96"/>
  <c r="E93"/>
  <c r="E92"/>
  <c r="O88"/>
  <c r="U82"/>
  <c r="A82"/>
  <c r="O75"/>
  <c r="O69"/>
  <c r="U67"/>
  <c r="A67"/>
  <c r="O57"/>
  <c r="U55"/>
  <c r="A55"/>
  <c r="O47"/>
  <c r="B39"/>
  <c r="F42"/>
  <c r="O41"/>
  <c r="D39"/>
  <c r="D38"/>
  <c r="E35"/>
  <c r="F35"/>
  <c r="E34"/>
  <c r="F34"/>
  <c r="O33"/>
  <c r="E33"/>
  <c r="O28"/>
  <c r="O24"/>
  <c r="O18"/>
  <c r="U16"/>
  <c r="A16"/>
  <c r="U15"/>
  <c r="A15"/>
  <c r="U14"/>
  <c r="A14"/>
  <c r="O7"/>
  <c r="A1"/>
  <c r="B464" i="25"/>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50"/>
  <c r="E47"/>
  <c r="F47"/>
  <c r="C47"/>
  <c r="E46"/>
  <c r="F46"/>
  <c r="C46"/>
  <c r="E45"/>
  <c r="F45"/>
  <c r="C45"/>
  <c r="E44"/>
  <c r="F44"/>
  <c r="C44"/>
  <c r="E43"/>
  <c r="F43"/>
  <c r="C43"/>
  <c r="F42"/>
  <c r="C42"/>
  <c r="F41"/>
  <c r="C41"/>
  <c r="F40"/>
  <c r="C40"/>
  <c r="F39"/>
  <c r="C39"/>
  <c r="F38"/>
  <c r="C38"/>
  <c r="F37"/>
  <c r="C37"/>
  <c r="F36"/>
  <c r="C36"/>
  <c r="F35"/>
  <c r="C35"/>
  <c r="F34"/>
  <c r="C34"/>
  <c r="F33"/>
  <c r="C33"/>
  <c r="F32"/>
  <c r="C32"/>
  <c r="F31"/>
  <c r="C31"/>
  <c r="F30"/>
  <c r="C30"/>
  <c r="F29"/>
  <c r="C29"/>
  <c r="F28"/>
  <c r="C28"/>
  <c r="A1"/>
  <c r="K543" i="26"/>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J476"/>
  <c r="I476"/>
  <c r="H476"/>
  <c r="E476"/>
  <c r="D476"/>
  <c r="C476"/>
  <c r="B476"/>
  <c r="K475"/>
  <c r="J475"/>
  <c r="I475"/>
  <c r="H475"/>
  <c r="E475"/>
  <c r="D475"/>
  <c r="C475"/>
  <c r="B475"/>
  <c r="K474"/>
  <c r="J474"/>
  <c r="I474"/>
  <c r="H474"/>
  <c r="E474"/>
  <c r="D474"/>
  <c r="C474"/>
  <c r="B474"/>
  <c r="K473"/>
  <c r="J473"/>
  <c r="I473"/>
  <c r="H473"/>
  <c r="E473"/>
  <c r="D473"/>
  <c r="C473"/>
  <c r="B473"/>
  <c r="K472"/>
  <c r="J472"/>
  <c r="I472"/>
  <c r="H472"/>
  <c r="E472"/>
  <c r="D472"/>
  <c r="C472"/>
  <c r="B472"/>
  <c r="K471"/>
  <c r="J471"/>
  <c r="I471"/>
  <c r="H471"/>
  <c r="E471"/>
  <c r="D471"/>
  <c r="C471"/>
  <c r="B471"/>
  <c r="K470"/>
  <c r="J470"/>
  <c r="I470"/>
  <c r="H470"/>
  <c r="E470"/>
  <c r="D470"/>
  <c r="C470"/>
  <c r="B470"/>
  <c r="K469"/>
  <c r="J469"/>
  <c r="I469"/>
  <c r="H469"/>
  <c r="E469"/>
  <c r="D469"/>
  <c r="C469"/>
  <c r="B469"/>
  <c r="K468"/>
  <c r="J468"/>
  <c r="I468"/>
  <c r="H468"/>
  <c r="E468"/>
  <c r="D468"/>
  <c r="C468"/>
  <c r="B468"/>
  <c r="K467"/>
  <c r="J467"/>
  <c r="I467"/>
  <c r="H467"/>
  <c r="E467"/>
  <c r="D467"/>
  <c r="C467"/>
  <c r="B467"/>
  <c r="K466"/>
  <c r="J466"/>
  <c r="I466"/>
  <c r="H466"/>
  <c r="E466"/>
  <c r="D466"/>
  <c r="C466"/>
  <c r="B466"/>
  <c r="K465"/>
  <c r="J465"/>
  <c r="I465"/>
  <c r="H465"/>
  <c r="E465"/>
  <c r="D465"/>
  <c r="C465"/>
  <c r="B465"/>
  <c r="K464"/>
  <c r="J464"/>
  <c r="I464"/>
  <c r="H464"/>
  <c r="E464"/>
  <c r="D464"/>
  <c r="C464"/>
  <c r="B464"/>
  <c r="K463"/>
  <c r="J463"/>
  <c r="I463"/>
  <c r="H463"/>
  <c r="E463"/>
  <c r="D463"/>
  <c r="C463"/>
  <c r="B463"/>
  <c r="K462"/>
  <c r="J462"/>
  <c r="I462"/>
  <c r="H462"/>
  <c r="E462"/>
  <c r="D462"/>
  <c r="C462"/>
  <c r="B462"/>
  <c r="K461"/>
  <c r="J461"/>
  <c r="I461"/>
  <c r="H461"/>
  <c r="E461"/>
  <c r="D461"/>
  <c r="C461"/>
  <c r="B461"/>
  <c r="K460"/>
  <c r="J460"/>
  <c r="I460"/>
  <c r="H460"/>
  <c r="E460"/>
  <c r="D460"/>
  <c r="C460"/>
  <c r="B460"/>
  <c r="K459"/>
  <c r="J459"/>
  <c r="I459"/>
  <c r="H459"/>
  <c r="E459"/>
  <c r="D459"/>
  <c r="C459"/>
  <c r="B459"/>
  <c r="K458"/>
  <c r="J458"/>
  <c r="I458"/>
  <c r="H458"/>
  <c r="E458"/>
  <c r="D458"/>
  <c r="C458"/>
  <c r="B458"/>
  <c r="K457"/>
  <c r="J457"/>
  <c r="I457"/>
  <c r="H457"/>
  <c r="E457"/>
  <c r="D457"/>
  <c r="C457"/>
  <c r="B457"/>
  <c r="K456"/>
  <c r="J456"/>
  <c r="I456"/>
  <c r="H456"/>
  <c r="E456"/>
  <c r="D456"/>
  <c r="C456"/>
  <c r="B456"/>
  <c r="K455"/>
  <c r="J455"/>
  <c r="I455"/>
  <c r="H455"/>
  <c r="E455"/>
  <c r="D455"/>
  <c r="C455"/>
  <c r="B455"/>
  <c r="K454"/>
  <c r="J454"/>
  <c r="I454"/>
  <c r="H454"/>
  <c r="E454"/>
  <c r="D454"/>
  <c r="C454"/>
  <c r="B454"/>
  <c r="K453"/>
  <c r="J453"/>
  <c r="I453"/>
  <c r="H453"/>
  <c r="E453"/>
  <c r="D453"/>
  <c r="C453"/>
  <c r="B453"/>
  <c r="K452"/>
  <c r="J452"/>
  <c r="I452"/>
  <c r="H452"/>
  <c r="E452"/>
  <c r="D452"/>
  <c r="C452"/>
  <c r="B452"/>
  <c r="K451"/>
  <c r="J451"/>
  <c r="I451"/>
  <c r="H451"/>
  <c r="E451"/>
  <c r="D451"/>
  <c r="C451"/>
  <c r="B451"/>
  <c r="K450"/>
  <c r="J450"/>
  <c r="I450"/>
  <c r="H450"/>
  <c r="E450"/>
  <c r="D450"/>
  <c r="C450"/>
  <c r="B450"/>
  <c r="K449"/>
  <c r="J449"/>
  <c r="I449"/>
  <c r="H449"/>
  <c r="E449"/>
  <c r="D449"/>
  <c r="C449"/>
  <c r="B449"/>
  <c r="K448"/>
  <c r="J448"/>
  <c r="I448"/>
  <c r="H448"/>
  <c r="E448"/>
  <c r="D448"/>
  <c r="C448"/>
  <c r="B448"/>
  <c r="K447"/>
  <c r="J447"/>
  <c r="I447"/>
  <c r="H447"/>
  <c r="E447"/>
  <c r="D447"/>
  <c r="C447"/>
  <c r="B447"/>
  <c r="K446"/>
  <c r="J446"/>
  <c r="I446"/>
  <c r="H446"/>
  <c r="E446"/>
  <c r="D446"/>
  <c r="C446"/>
  <c r="B446"/>
  <c r="K445"/>
  <c r="J445"/>
  <c r="I445"/>
  <c r="H445"/>
  <c r="E445"/>
  <c r="D445"/>
  <c r="C445"/>
  <c r="B445"/>
  <c r="K444"/>
  <c r="J444"/>
  <c r="I444"/>
  <c r="H444"/>
  <c r="E444"/>
  <c r="D444"/>
  <c r="C444"/>
  <c r="B444"/>
  <c r="K443"/>
  <c r="J443"/>
  <c r="I443"/>
  <c r="H443"/>
  <c r="E443"/>
  <c r="D443"/>
  <c r="C443"/>
  <c r="B443"/>
  <c r="K442"/>
  <c r="J442"/>
  <c r="I442"/>
  <c r="H442"/>
  <c r="E442"/>
  <c r="D442"/>
  <c r="C442"/>
  <c r="B442"/>
  <c r="K441"/>
  <c r="J441"/>
  <c r="I441"/>
  <c r="H441"/>
  <c r="E441"/>
  <c r="D441"/>
  <c r="C441"/>
  <c r="B441"/>
  <c r="K440"/>
  <c r="J440"/>
  <c r="I440"/>
  <c r="H440"/>
  <c r="E440"/>
  <c r="D440"/>
  <c r="C440"/>
  <c r="B440"/>
  <c r="K439"/>
  <c r="J439"/>
  <c r="I439"/>
  <c r="H439"/>
  <c r="E439"/>
  <c r="D439"/>
  <c r="C439"/>
  <c r="B439"/>
  <c r="K438"/>
  <c r="J438"/>
  <c r="I438"/>
  <c r="H438"/>
  <c r="E438"/>
  <c r="D438"/>
  <c r="C438"/>
  <c r="B438"/>
  <c r="K437"/>
  <c r="J437"/>
  <c r="I437"/>
  <c r="H437"/>
  <c r="E437"/>
  <c r="D437"/>
  <c r="C437"/>
  <c r="B437"/>
  <c r="K436"/>
  <c r="J436"/>
  <c r="I436"/>
  <c r="H436"/>
  <c r="E436"/>
  <c r="D436"/>
  <c r="C436"/>
  <c r="B436"/>
  <c r="K435"/>
  <c r="J435"/>
  <c r="I435"/>
  <c r="H435"/>
  <c r="E435"/>
  <c r="D435"/>
  <c r="C435"/>
  <c r="B435"/>
  <c r="K434"/>
  <c r="J434"/>
  <c r="I434"/>
  <c r="H434"/>
  <c r="E434"/>
  <c r="D434"/>
  <c r="C434"/>
  <c r="B434"/>
  <c r="K433"/>
  <c r="J433"/>
  <c r="I433"/>
  <c r="H433"/>
  <c r="E433"/>
  <c r="D433"/>
  <c r="C433"/>
  <c r="B433"/>
  <c r="K432"/>
  <c r="J432"/>
  <c r="I432"/>
  <c r="H432"/>
  <c r="E432"/>
  <c r="D432"/>
  <c r="C432"/>
  <c r="B432"/>
  <c r="K431"/>
  <c r="J431"/>
  <c r="I431"/>
  <c r="H431"/>
  <c r="E431"/>
  <c r="D431"/>
  <c r="C431"/>
  <c r="B431"/>
  <c r="K430"/>
  <c r="J430"/>
  <c r="I430"/>
  <c r="H430"/>
  <c r="E430"/>
  <c r="D430"/>
  <c r="C430"/>
  <c r="B430"/>
  <c r="K429"/>
  <c r="J429"/>
  <c r="I429"/>
  <c r="H429"/>
  <c r="E429"/>
  <c r="D429"/>
  <c r="C429"/>
  <c r="B429"/>
  <c r="K428"/>
  <c r="J428"/>
  <c r="I428"/>
  <c r="H428"/>
  <c r="E428"/>
  <c r="D428"/>
  <c r="C428"/>
  <c r="B428"/>
  <c r="K427"/>
  <c r="J427"/>
  <c r="I427"/>
  <c r="H427"/>
  <c r="E427"/>
  <c r="D427"/>
  <c r="C427"/>
  <c r="B427"/>
  <c r="K426"/>
  <c r="J426"/>
  <c r="I426"/>
  <c r="H426"/>
  <c r="E426"/>
  <c r="D426"/>
  <c r="C426"/>
  <c r="B426"/>
  <c r="K425"/>
  <c r="J425"/>
  <c r="I425"/>
  <c r="H425"/>
  <c r="E425"/>
  <c r="D425"/>
  <c r="C425"/>
  <c r="B425"/>
  <c r="K424"/>
  <c r="J424"/>
  <c r="I424"/>
  <c r="H424"/>
  <c r="E424"/>
  <c r="D424"/>
  <c r="C424"/>
  <c r="B424"/>
  <c r="K423"/>
  <c r="J423"/>
  <c r="I423"/>
  <c r="H423"/>
  <c r="E423"/>
  <c r="D423"/>
  <c r="C423"/>
  <c r="B423"/>
  <c r="K422"/>
  <c r="J422"/>
  <c r="I422"/>
  <c r="H422"/>
  <c r="E422"/>
  <c r="D422"/>
  <c r="C422"/>
  <c r="B422"/>
  <c r="K421"/>
  <c r="J421"/>
  <c r="I421"/>
  <c r="H421"/>
  <c r="E421"/>
  <c r="D421"/>
  <c r="C421"/>
  <c r="B421"/>
  <c r="K420"/>
  <c r="J420"/>
  <c r="I420"/>
  <c r="H420"/>
  <c r="E420"/>
  <c r="D420"/>
  <c r="C420"/>
  <c r="B420"/>
  <c r="K419"/>
  <c r="J419"/>
  <c r="I419"/>
  <c r="H419"/>
  <c r="E419"/>
  <c r="D419"/>
  <c r="C419"/>
  <c r="B419"/>
  <c r="K418"/>
  <c r="J418"/>
  <c r="I418"/>
  <c r="H418"/>
  <c r="E418"/>
  <c r="D418"/>
  <c r="C418"/>
  <c r="B418"/>
  <c r="K417"/>
  <c r="J417"/>
  <c r="I417"/>
  <c r="H417"/>
  <c r="E417"/>
  <c r="D417"/>
  <c r="C417"/>
  <c r="B417"/>
  <c r="K416"/>
  <c r="J416"/>
  <c r="I416"/>
  <c r="H416"/>
  <c r="E416"/>
  <c r="D416"/>
  <c r="C416"/>
  <c r="B416"/>
  <c r="K415"/>
  <c r="J415"/>
  <c r="I415"/>
  <c r="H415"/>
  <c r="E415"/>
  <c r="D415"/>
  <c r="C415"/>
  <c r="B415"/>
  <c r="K414"/>
  <c r="J414"/>
  <c r="I414"/>
  <c r="H414"/>
  <c r="E414"/>
  <c r="D414"/>
  <c r="C414"/>
  <c r="B414"/>
  <c r="K413"/>
  <c r="J413"/>
  <c r="I413"/>
  <c r="H413"/>
  <c r="E413"/>
  <c r="D413"/>
  <c r="C413"/>
  <c r="B413"/>
  <c r="K412"/>
  <c r="J412"/>
  <c r="I412"/>
  <c r="H412"/>
  <c r="E412"/>
  <c r="D412"/>
  <c r="C412"/>
  <c r="B412"/>
  <c r="K411"/>
  <c r="J411"/>
  <c r="I411"/>
  <c r="H411"/>
  <c r="E411"/>
  <c r="D411"/>
  <c r="C411"/>
  <c r="B411"/>
  <c r="K410"/>
  <c r="J410"/>
  <c r="I410"/>
  <c r="H410"/>
  <c r="E410"/>
  <c r="D410"/>
  <c r="C410"/>
  <c r="B410"/>
  <c r="K409"/>
  <c r="J409"/>
  <c r="I409"/>
  <c r="H409"/>
  <c r="E409"/>
  <c r="D409"/>
  <c r="C409"/>
  <c r="B409"/>
  <c r="K408"/>
  <c r="J408"/>
  <c r="I408"/>
  <c r="H408"/>
  <c r="E408"/>
  <c r="D408"/>
  <c r="C408"/>
  <c r="B408"/>
  <c r="K407"/>
  <c r="J407"/>
  <c r="I407"/>
  <c r="H407"/>
  <c r="E407"/>
  <c r="D407"/>
  <c r="C407"/>
  <c r="B407"/>
  <c r="K406"/>
  <c r="J406"/>
  <c r="I406"/>
  <c r="H406"/>
  <c r="E406"/>
  <c r="D406"/>
  <c r="C406"/>
  <c r="B406"/>
  <c r="K405"/>
  <c r="J405"/>
  <c r="I405"/>
  <c r="H405"/>
  <c r="E405"/>
  <c r="D405"/>
  <c r="C405"/>
  <c r="B405"/>
  <c r="K404"/>
  <c r="J404"/>
  <c r="I404"/>
  <c r="H404"/>
  <c r="E404"/>
  <c r="D404"/>
  <c r="C404"/>
  <c r="B404"/>
  <c r="K403"/>
  <c r="J403"/>
  <c r="I403"/>
  <c r="H403"/>
  <c r="E403"/>
  <c r="D403"/>
  <c r="C403"/>
  <c r="B403"/>
  <c r="K402"/>
  <c r="J402"/>
  <c r="I402"/>
  <c r="H402"/>
  <c r="E402"/>
  <c r="D402"/>
  <c r="C402"/>
  <c r="B402"/>
  <c r="K401"/>
  <c r="J401"/>
  <c r="I401"/>
  <c r="H401"/>
  <c r="E401"/>
  <c r="D401"/>
  <c r="C401"/>
  <c r="B401"/>
  <c r="K400"/>
  <c r="J400"/>
  <c r="I400"/>
  <c r="H400"/>
  <c r="E400"/>
  <c r="D400"/>
  <c r="C400"/>
  <c r="B400"/>
  <c r="K399"/>
  <c r="J399"/>
  <c r="I399"/>
  <c r="H399"/>
  <c r="E399"/>
  <c r="D399"/>
  <c r="C399"/>
  <c r="B399"/>
  <c r="K398"/>
  <c r="J398"/>
  <c r="I398"/>
  <c r="H398"/>
  <c r="E398"/>
  <c r="D398"/>
  <c r="C398"/>
  <c r="B398"/>
  <c r="K397"/>
  <c r="J397"/>
  <c r="I397"/>
  <c r="H397"/>
  <c r="E397"/>
  <c r="D397"/>
  <c r="C397"/>
  <c r="B397"/>
  <c r="K396"/>
  <c r="J396"/>
  <c r="I396"/>
  <c r="H396"/>
  <c r="E396"/>
  <c r="D396"/>
  <c r="C396"/>
  <c r="B396"/>
  <c r="K395"/>
  <c r="J395"/>
  <c r="I395"/>
  <c r="H395"/>
  <c r="E395"/>
  <c r="D395"/>
  <c r="C395"/>
  <c r="B395"/>
  <c r="K394"/>
  <c r="J394"/>
  <c r="I394"/>
  <c r="H394"/>
  <c r="E394"/>
  <c r="D394"/>
  <c r="C394"/>
  <c r="B394"/>
  <c r="K393"/>
  <c r="J393"/>
  <c r="I393"/>
  <c r="H393"/>
  <c r="E393"/>
  <c r="D393"/>
  <c r="C393"/>
  <c r="B393"/>
  <c r="K392"/>
  <c r="J392"/>
  <c r="I392"/>
  <c r="H392"/>
  <c r="E392"/>
  <c r="D392"/>
  <c r="C392"/>
  <c r="B392"/>
  <c r="K391"/>
  <c r="J391"/>
  <c r="I391"/>
  <c r="H391"/>
  <c r="E391"/>
  <c r="D391"/>
  <c r="C391"/>
  <c r="B391"/>
  <c r="K390"/>
  <c r="J390"/>
  <c r="I390"/>
  <c r="H390"/>
  <c r="E390"/>
  <c r="D390"/>
  <c r="C390"/>
  <c r="B390"/>
  <c r="K389"/>
  <c r="J389"/>
  <c r="I389"/>
  <c r="H389"/>
  <c r="E389"/>
  <c r="D389"/>
  <c r="C389"/>
  <c r="B389"/>
  <c r="K388"/>
  <c r="J388"/>
  <c r="I388"/>
  <c r="H388"/>
  <c r="E388"/>
  <c r="D388"/>
  <c r="C388"/>
  <c r="B388"/>
  <c r="K387"/>
  <c r="J387"/>
  <c r="I387"/>
  <c r="H387"/>
  <c r="E387"/>
  <c r="D387"/>
  <c r="C387"/>
  <c r="B387"/>
  <c r="K386"/>
  <c r="J386"/>
  <c r="I386"/>
  <c r="H386"/>
  <c r="E386"/>
  <c r="D386"/>
  <c r="C386"/>
  <c r="B386"/>
  <c r="K385"/>
  <c r="J385"/>
  <c r="I385"/>
  <c r="H385"/>
  <c r="E385"/>
  <c r="D385"/>
  <c r="C385"/>
  <c r="B385"/>
  <c r="K384"/>
  <c r="J384"/>
  <c r="I384"/>
  <c r="H384"/>
  <c r="E384"/>
  <c r="D384"/>
  <c r="C384"/>
  <c r="B384"/>
  <c r="K383"/>
  <c r="J383"/>
  <c r="I383"/>
  <c r="H383"/>
  <c r="E383"/>
  <c r="D383"/>
  <c r="C383"/>
  <c r="B383"/>
  <c r="K382"/>
  <c r="J382"/>
  <c r="I382"/>
  <c r="H382"/>
  <c r="E382"/>
  <c r="D382"/>
  <c r="C382"/>
  <c r="B382"/>
  <c r="K381"/>
  <c r="J381"/>
  <c r="I381"/>
  <c r="H381"/>
  <c r="E381"/>
  <c r="D381"/>
  <c r="C381"/>
  <c r="B381"/>
  <c r="K380"/>
  <c r="J380"/>
  <c r="I380"/>
  <c r="H380"/>
  <c r="E380"/>
  <c r="D380"/>
  <c r="C380"/>
  <c r="B380"/>
  <c r="K379"/>
  <c r="J379"/>
  <c r="I379"/>
  <c r="H379"/>
  <c r="E379"/>
  <c r="D379"/>
  <c r="C379"/>
  <c r="B379"/>
  <c r="K378"/>
  <c r="J378"/>
  <c r="I378"/>
  <c r="H378"/>
  <c r="E378"/>
  <c r="D378"/>
  <c r="C378"/>
  <c r="B378"/>
  <c r="K377"/>
  <c r="J377"/>
  <c r="I377"/>
  <c r="H377"/>
  <c r="E377"/>
  <c r="D377"/>
  <c r="C377"/>
  <c r="B377"/>
  <c r="K376"/>
  <c r="J376"/>
  <c r="I376"/>
  <c r="H376"/>
  <c r="E376"/>
  <c r="D376"/>
  <c r="C376"/>
  <c r="B376"/>
  <c r="K375"/>
  <c r="J375"/>
  <c r="I375"/>
  <c r="H375"/>
  <c r="E375"/>
  <c r="D375"/>
  <c r="C375"/>
  <c r="B375"/>
  <c r="K374"/>
  <c r="J374"/>
  <c r="I374"/>
  <c r="H374"/>
  <c r="E374"/>
  <c r="D374"/>
  <c r="C374"/>
  <c r="B374"/>
  <c r="K373"/>
  <c r="J373"/>
  <c r="I373"/>
  <c r="H373"/>
  <c r="E373"/>
  <c r="D373"/>
  <c r="C373"/>
  <c r="B373"/>
  <c r="K372"/>
  <c r="J372"/>
  <c r="I372"/>
  <c r="H372"/>
  <c r="E372"/>
  <c r="D372"/>
  <c r="C372"/>
  <c r="B372"/>
  <c r="K371"/>
  <c r="J371"/>
  <c r="I371"/>
  <c r="H371"/>
  <c r="E371"/>
  <c r="D371"/>
  <c r="C371"/>
  <c r="B371"/>
  <c r="K370"/>
  <c r="J370"/>
  <c r="I370"/>
  <c r="H370"/>
  <c r="E370"/>
  <c r="D370"/>
  <c r="C370"/>
  <c r="B370"/>
  <c r="K369"/>
  <c r="J369"/>
  <c r="I369"/>
  <c r="H369"/>
  <c r="E369"/>
  <c r="D369"/>
  <c r="C369"/>
  <c r="B369"/>
  <c r="K368"/>
  <c r="J368"/>
  <c r="I368"/>
  <c r="H368"/>
  <c r="E368"/>
  <c r="D368"/>
  <c r="C368"/>
  <c r="B368"/>
  <c r="K367"/>
  <c r="J367"/>
  <c r="I367"/>
  <c r="H367"/>
  <c r="E367"/>
  <c r="D367"/>
  <c r="C367"/>
  <c r="B367"/>
  <c r="K366"/>
  <c r="J366"/>
  <c r="I366"/>
  <c r="H366"/>
  <c r="E366"/>
  <c r="D366"/>
  <c r="C366"/>
  <c r="B366"/>
  <c r="K365"/>
  <c r="J365"/>
  <c r="I365"/>
  <c r="H365"/>
  <c r="E365"/>
  <c r="D365"/>
  <c r="C365"/>
  <c r="B365"/>
  <c r="K364"/>
  <c r="J364"/>
  <c r="I364"/>
  <c r="H364"/>
  <c r="E364"/>
  <c r="D364"/>
  <c r="C364"/>
  <c r="B364"/>
  <c r="K363"/>
  <c r="J363"/>
  <c r="I363"/>
  <c r="H363"/>
  <c r="E363"/>
  <c r="D363"/>
  <c r="C363"/>
  <c r="B363"/>
  <c r="K362"/>
  <c r="J362"/>
  <c r="I362"/>
  <c r="H362"/>
  <c r="E362"/>
  <c r="D362"/>
  <c r="C362"/>
  <c r="B362"/>
  <c r="K361"/>
  <c r="J361"/>
  <c r="I361"/>
  <c r="H361"/>
  <c r="E361"/>
  <c r="D361"/>
  <c r="C361"/>
  <c r="B361"/>
  <c r="K360"/>
  <c r="J360"/>
  <c r="I360"/>
  <c r="H360"/>
  <c r="E360"/>
  <c r="D360"/>
  <c r="C360"/>
  <c r="B360"/>
  <c r="K359"/>
  <c r="J359"/>
  <c r="I359"/>
  <c r="H359"/>
  <c r="E359"/>
  <c r="D359"/>
  <c r="C359"/>
  <c r="B359"/>
  <c r="K358"/>
  <c r="J358"/>
  <c r="I358"/>
  <c r="H358"/>
  <c r="E358"/>
  <c r="D358"/>
  <c r="C358"/>
  <c r="B358"/>
  <c r="K357"/>
  <c r="J357"/>
  <c r="I357"/>
  <c r="H357"/>
  <c r="E357"/>
  <c r="D357"/>
  <c r="C357"/>
  <c r="B357"/>
  <c r="K356"/>
  <c r="J356"/>
  <c r="I356"/>
  <c r="H356"/>
  <c r="E356"/>
  <c r="D356"/>
  <c r="C356"/>
  <c r="B356"/>
  <c r="K355"/>
  <c r="J355"/>
  <c r="I355"/>
  <c r="H355"/>
  <c r="E355"/>
  <c r="D355"/>
  <c r="C355"/>
  <c r="B355"/>
  <c r="K354"/>
  <c r="J354"/>
  <c r="I354"/>
  <c r="H354"/>
  <c r="E354"/>
  <c r="D354"/>
  <c r="C354"/>
  <c r="B354"/>
  <c r="K353"/>
  <c r="J353"/>
  <c r="I353"/>
  <c r="H353"/>
  <c r="E353"/>
  <c r="D353"/>
  <c r="C353"/>
  <c r="B353"/>
  <c r="K352"/>
  <c r="J352"/>
  <c r="I352"/>
  <c r="H352"/>
  <c r="E352"/>
  <c r="D352"/>
  <c r="C352"/>
  <c r="B352"/>
  <c r="K351"/>
  <c r="J351"/>
  <c r="I351"/>
  <c r="H351"/>
  <c r="E351"/>
  <c r="D351"/>
  <c r="C351"/>
  <c r="B351"/>
  <c r="K350"/>
  <c r="J350"/>
  <c r="I350"/>
  <c r="H350"/>
  <c r="E350"/>
  <c r="D350"/>
  <c r="C350"/>
  <c r="B350"/>
  <c r="K349"/>
  <c r="J349"/>
  <c r="I349"/>
  <c r="H349"/>
  <c r="E349"/>
  <c r="D349"/>
  <c r="C349"/>
  <c r="B349"/>
  <c r="K348"/>
  <c r="J348"/>
  <c r="I348"/>
  <c r="H348"/>
  <c r="E348"/>
  <c r="D348"/>
  <c r="C348"/>
  <c r="B348"/>
  <c r="K347"/>
  <c r="J347"/>
  <c r="I347"/>
  <c r="H347"/>
  <c r="E347"/>
  <c r="D347"/>
  <c r="C347"/>
  <c r="B347"/>
  <c r="K346"/>
  <c r="J346"/>
  <c r="I346"/>
  <c r="H346"/>
  <c r="E346"/>
  <c r="D346"/>
  <c r="C346"/>
  <c r="B346"/>
  <c r="K345"/>
  <c r="J345"/>
  <c r="I345"/>
  <c r="H345"/>
  <c r="E345"/>
  <c r="D345"/>
  <c r="C345"/>
  <c r="B345"/>
  <c r="K344"/>
  <c r="J344"/>
  <c r="I344"/>
  <c r="H344"/>
  <c r="E344"/>
  <c r="D344"/>
  <c r="C344"/>
  <c r="B344"/>
  <c r="K343"/>
  <c r="J343"/>
  <c r="I343"/>
  <c r="H343"/>
  <c r="E343"/>
  <c r="D343"/>
  <c r="C343"/>
  <c r="B343"/>
  <c r="K342"/>
  <c r="J342"/>
  <c r="I342"/>
  <c r="H342"/>
  <c r="E342"/>
  <c r="D342"/>
  <c r="C342"/>
  <c r="B342"/>
  <c r="K341"/>
  <c r="J341"/>
  <c r="I341"/>
  <c r="H341"/>
  <c r="E341"/>
  <c r="D341"/>
  <c r="C341"/>
  <c r="B341"/>
  <c r="K340"/>
  <c r="J340"/>
  <c r="I340"/>
  <c r="H340"/>
  <c r="E340"/>
  <c r="D340"/>
  <c r="C340"/>
  <c r="B340"/>
  <c r="K339"/>
  <c r="J339"/>
  <c r="I339"/>
  <c r="H339"/>
  <c r="E339"/>
  <c r="D339"/>
  <c r="C339"/>
  <c r="B339"/>
  <c r="K338"/>
  <c r="J338"/>
  <c r="I338"/>
  <c r="H338"/>
  <c r="E338"/>
  <c r="D338"/>
  <c r="C338"/>
  <c r="B338"/>
  <c r="K337"/>
  <c r="J337"/>
  <c r="I337"/>
  <c r="H337"/>
  <c r="E337"/>
  <c r="D337"/>
  <c r="C337"/>
  <c r="B337"/>
  <c r="K336"/>
  <c r="J336"/>
  <c r="I336"/>
  <c r="H336"/>
  <c r="E336"/>
  <c r="D336"/>
  <c r="C336"/>
  <c r="B336"/>
  <c r="K335"/>
  <c r="J335"/>
  <c r="I335"/>
  <c r="H335"/>
  <c r="E335"/>
  <c r="D335"/>
  <c r="C335"/>
  <c r="B335"/>
  <c r="K334"/>
  <c r="J334"/>
  <c r="I334"/>
  <c r="H334"/>
  <c r="E334"/>
  <c r="D334"/>
  <c r="C334"/>
  <c r="B334"/>
  <c r="K333"/>
  <c r="J333"/>
  <c r="I333"/>
  <c r="H333"/>
  <c r="E333"/>
  <c r="D333"/>
  <c r="C333"/>
  <c r="B333"/>
  <c r="K332"/>
  <c r="J332"/>
  <c r="I332"/>
  <c r="H332"/>
  <c r="E332"/>
  <c r="D332"/>
  <c r="C332"/>
  <c r="B332"/>
  <c r="K331"/>
  <c r="J331"/>
  <c r="I331"/>
  <c r="H331"/>
  <c r="E331"/>
  <c r="D331"/>
  <c r="C331"/>
  <c r="B331"/>
  <c r="K330"/>
  <c r="J330"/>
  <c r="I330"/>
  <c r="H330"/>
  <c r="E330"/>
  <c r="D330"/>
  <c r="C330"/>
  <c r="B330"/>
  <c r="K329"/>
  <c r="J329"/>
  <c r="I329"/>
  <c r="H329"/>
  <c r="E329"/>
  <c r="D329"/>
  <c r="C329"/>
  <c r="B329"/>
  <c r="K328"/>
  <c r="J328"/>
  <c r="I328"/>
  <c r="H328"/>
  <c r="E328"/>
  <c r="D328"/>
  <c r="C328"/>
  <c r="B328"/>
  <c r="K327"/>
  <c r="J327"/>
  <c r="I327"/>
  <c r="H327"/>
  <c r="E327"/>
  <c r="D327"/>
  <c r="C327"/>
  <c r="B327"/>
  <c r="K326"/>
  <c r="J326"/>
  <c r="I326"/>
  <c r="H326"/>
  <c r="E326"/>
  <c r="D326"/>
  <c r="C326"/>
  <c r="B326"/>
  <c r="K325"/>
  <c r="J325"/>
  <c r="I325"/>
  <c r="H325"/>
  <c r="E325"/>
  <c r="D325"/>
  <c r="C325"/>
  <c r="B325"/>
  <c r="K324"/>
  <c r="J324"/>
  <c r="I324"/>
  <c r="H324"/>
  <c r="E324"/>
  <c r="D324"/>
  <c r="C324"/>
  <c r="B324"/>
  <c r="K323"/>
  <c r="J323"/>
  <c r="I323"/>
  <c r="H323"/>
  <c r="E323"/>
  <c r="D323"/>
  <c r="C323"/>
  <c r="B323"/>
  <c r="K322"/>
  <c r="J322"/>
  <c r="I322"/>
  <c r="H322"/>
  <c r="E322"/>
  <c r="D322"/>
  <c r="C322"/>
  <c r="B322"/>
  <c r="K321"/>
  <c r="J321"/>
  <c r="I321"/>
  <c r="H321"/>
  <c r="E321"/>
  <c r="D321"/>
  <c r="C321"/>
  <c r="B321"/>
  <c r="K320"/>
  <c r="J320"/>
  <c r="I320"/>
  <c r="H320"/>
  <c r="E320"/>
  <c r="D320"/>
  <c r="C320"/>
  <c r="B320"/>
  <c r="K319"/>
  <c r="J319"/>
  <c r="I319"/>
  <c r="H319"/>
  <c r="E319"/>
  <c r="D319"/>
  <c r="C319"/>
  <c r="B319"/>
  <c r="K318"/>
  <c r="J318"/>
  <c r="I318"/>
  <c r="H318"/>
  <c r="E318"/>
  <c r="D318"/>
  <c r="C318"/>
  <c r="B318"/>
  <c r="K317"/>
  <c r="J317"/>
  <c r="I317"/>
  <c r="H317"/>
  <c r="E317"/>
  <c r="D317"/>
  <c r="C317"/>
  <c r="B317"/>
  <c r="K316"/>
  <c r="J316"/>
  <c r="I316"/>
  <c r="H316"/>
  <c r="E316"/>
  <c r="D316"/>
  <c r="C316"/>
  <c r="B316"/>
  <c r="K315"/>
  <c r="J315"/>
  <c r="I315"/>
  <c r="H315"/>
  <c r="E315"/>
  <c r="D315"/>
  <c r="C315"/>
  <c r="B315"/>
  <c r="K314"/>
  <c r="J314"/>
  <c r="I314"/>
  <c r="H314"/>
  <c r="E314"/>
  <c r="D314"/>
  <c r="C314"/>
  <c r="B314"/>
  <c r="K313"/>
  <c r="J313"/>
  <c r="I313"/>
  <c r="H313"/>
  <c r="E313"/>
  <c r="D313"/>
  <c r="C313"/>
  <c r="B313"/>
  <c r="K312"/>
  <c r="J312"/>
  <c r="I312"/>
  <c r="H312"/>
  <c r="E312"/>
  <c r="D312"/>
  <c r="C312"/>
  <c r="B312"/>
  <c r="K311"/>
  <c r="J311"/>
  <c r="I311"/>
  <c r="H311"/>
  <c r="E311"/>
  <c r="D311"/>
  <c r="C311"/>
  <c r="B311"/>
  <c r="K310"/>
  <c r="J310"/>
  <c r="I310"/>
  <c r="H310"/>
  <c r="E310"/>
  <c r="D310"/>
  <c r="C310"/>
  <c r="B310"/>
  <c r="K309"/>
  <c r="J309"/>
  <c r="I309"/>
  <c r="H309"/>
  <c r="E309"/>
  <c r="D309"/>
  <c r="C309"/>
  <c r="B309"/>
  <c r="K308"/>
  <c r="J308"/>
  <c r="I308"/>
  <c r="H308"/>
  <c r="E308"/>
  <c r="D308"/>
  <c r="C308"/>
  <c r="B308"/>
  <c r="K307"/>
  <c r="J307"/>
  <c r="I307"/>
  <c r="H307"/>
  <c r="E307"/>
  <c r="D307"/>
  <c r="C307"/>
  <c r="B307"/>
  <c r="K306"/>
  <c r="J306"/>
  <c r="I306"/>
  <c r="H306"/>
  <c r="E306"/>
  <c r="D306"/>
  <c r="C306"/>
  <c r="B306"/>
  <c r="K305"/>
  <c r="J305"/>
  <c r="I305"/>
  <c r="H305"/>
  <c r="E305"/>
  <c r="D305"/>
  <c r="C305"/>
  <c r="B305"/>
  <c r="K304"/>
  <c r="J304"/>
  <c r="I304"/>
  <c r="H304"/>
  <c r="E304"/>
  <c r="D304"/>
  <c r="C304"/>
  <c r="B304"/>
  <c r="K303"/>
  <c r="J303"/>
  <c r="I303"/>
  <c r="H303"/>
  <c r="E303"/>
  <c r="D303"/>
  <c r="C303"/>
  <c r="B303"/>
  <c r="K302"/>
  <c r="J302"/>
  <c r="I302"/>
  <c r="H302"/>
  <c r="E302"/>
  <c r="D302"/>
  <c r="C302"/>
  <c r="B302"/>
  <c r="K301"/>
  <c r="J301"/>
  <c r="I301"/>
  <c r="H301"/>
  <c r="E301"/>
  <c r="D301"/>
  <c r="C301"/>
  <c r="B301"/>
  <c r="K300"/>
  <c r="J300"/>
  <c r="I300"/>
  <c r="H300"/>
  <c r="E300"/>
  <c r="D300"/>
  <c r="C300"/>
  <c r="B300"/>
  <c r="K299"/>
  <c r="J299"/>
  <c r="I299"/>
  <c r="H299"/>
  <c r="E299"/>
  <c r="D299"/>
  <c r="C299"/>
  <c r="B299"/>
  <c r="K298"/>
  <c r="J298"/>
  <c r="I298"/>
  <c r="H298"/>
  <c r="E298"/>
  <c r="D298"/>
  <c r="C298"/>
  <c r="B298"/>
  <c r="K297"/>
  <c r="J297"/>
  <c r="I297"/>
  <c r="H297"/>
  <c r="E297"/>
  <c r="D297"/>
  <c r="C297"/>
  <c r="B297"/>
  <c r="K296"/>
  <c r="J296"/>
  <c r="I296"/>
  <c r="H296"/>
  <c r="E296"/>
  <c r="D296"/>
  <c r="C296"/>
  <c r="B296"/>
  <c r="K295"/>
  <c r="J295"/>
  <c r="I295"/>
  <c r="H295"/>
  <c r="E295"/>
  <c r="D295"/>
  <c r="C295"/>
  <c r="B295"/>
  <c r="K294"/>
  <c r="J294"/>
  <c r="I294"/>
  <c r="H294"/>
  <c r="E294"/>
  <c r="D294"/>
  <c r="C294"/>
  <c r="B294"/>
  <c r="K293"/>
  <c r="J293"/>
  <c r="I293"/>
  <c r="H293"/>
  <c r="E293"/>
  <c r="D293"/>
  <c r="C293"/>
  <c r="B293"/>
  <c r="K292"/>
  <c r="J292"/>
  <c r="I292"/>
  <c r="H292"/>
  <c r="E292"/>
  <c r="D292"/>
  <c r="C292"/>
  <c r="B292"/>
  <c r="K291"/>
  <c r="J291"/>
  <c r="I291"/>
  <c r="H291"/>
  <c r="E291"/>
  <c r="D291"/>
  <c r="C291"/>
  <c r="B291"/>
  <c r="K290"/>
  <c r="J290"/>
  <c r="I290"/>
  <c r="H290"/>
  <c r="E290"/>
  <c r="D290"/>
  <c r="C290"/>
  <c r="B290"/>
  <c r="K289"/>
  <c r="J289"/>
  <c r="I289"/>
  <c r="H289"/>
  <c r="E289"/>
  <c r="D289"/>
  <c r="C289"/>
  <c r="B289"/>
  <c r="K288"/>
  <c r="J288"/>
  <c r="I288"/>
  <c r="H288"/>
  <c r="E288"/>
  <c r="D288"/>
  <c r="C288"/>
  <c r="B288"/>
  <c r="K287"/>
  <c r="J287"/>
  <c r="I287"/>
  <c r="H287"/>
  <c r="E287"/>
  <c r="D287"/>
  <c r="C287"/>
  <c r="B287"/>
  <c r="K286"/>
  <c r="J286"/>
  <c r="I286"/>
  <c r="H286"/>
  <c r="E286"/>
  <c r="D286"/>
  <c r="C286"/>
  <c r="B286"/>
  <c r="K285"/>
  <c r="J285"/>
  <c r="I285"/>
  <c r="H285"/>
  <c r="E285"/>
  <c r="D285"/>
  <c r="C285"/>
  <c r="B285"/>
  <c r="K284"/>
  <c r="J284"/>
  <c r="I284"/>
  <c r="H284"/>
  <c r="E284"/>
  <c r="D284"/>
  <c r="C284"/>
  <c r="B284"/>
  <c r="K283"/>
  <c r="J283"/>
  <c r="I283"/>
  <c r="H283"/>
  <c r="E283"/>
  <c r="D283"/>
  <c r="C283"/>
  <c r="B283"/>
  <c r="K282"/>
  <c r="J282"/>
  <c r="I282"/>
  <c r="H282"/>
  <c r="E282"/>
  <c r="D282"/>
  <c r="C282"/>
  <c r="B282"/>
  <c r="K281"/>
  <c r="J281"/>
  <c r="I281"/>
  <c r="H281"/>
  <c r="E281"/>
  <c r="D281"/>
  <c r="C281"/>
  <c r="B281"/>
  <c r="K280"/>
  <c r="J280"/>
  <c r="I280"/>
  <c r="H280"/>
  <c r="E280"/>
  <c r="D280"/>
  <c r="C280"/>
  <c r="B280"/>
  <c r="K279"/>
  <c r="J279"/>
  <c r="I279"/>
  <c r="H279"/>
  <c r="E279"/>
  <c r="D279"/>
  <c r="C279"/>
  <c r="B279"/>
  <c r="K278"/>
  <c r="J278"/>
  <c r="I278"/>
  <c r="H278"/>
  <c r="E278"/>
  <c r="D278"/>
  <c r="C278"/>
  <c r="B278"/>
  <c r="K277"/>
  <c r="J277"/>
  <c r="I277"/>
  <c r="H277"/>
  <c r="E277"/>
  <c r="D277"/>
  <c r="C277"/>
  <c r="B277"/>
  <c r="K276"/>
  <c r="J276"/>
  <c r="I276"/>
  <c r="H276"/>
  <c r="E276"/>
  <c r="D276"/>
  <c r="C276"/>
  <c r="B276"/>
  <c r="K275"/>
  <c r="J275"/>
  <c r="I275"/>
  <c r="H275"/>
  <c r="E275"/>
  <c r="D275"/>
  <c r="C275"/>
  <c r="B275"/>
  <c r="K274"/>
  <c r="J274"/>
  <c r="I274"/>
  <c r="H274"/>
  <c r="E274"/>
  <c r="D274"/>
  <c r="C274"/>
  <c r="B274"/>
  <c r="K273"/>
  <c r="J273"/>
  <c r="I273"/>
  <c r="H273"/>
  <c r="E273"/>
  <c r="D273"/>
  <c r="C273"/>
  <c r="B273"/>
  <c r="K272"/>
  <c r="J272"/>
  <c r="I272"/>
  <c r="H272"/>
  <c r="E272"/>
  <c r="D272"/>
  <c r="C272"/>
  <c r="B272"/>
  <c r="K271"/>
  <c r="J271"/>
  <c r="I271"/>
  <c r="H271"/>
  <c r="E271"/>
  <c r="D271"/>
  <c r="C271"/>
  <c r="B271"/>
  <c r="K270"/>
  <c r="J270"/>
  <c r="I270"/>
  <c r="H270"/>
  <c r="E270"/>
  <c r="D270"/>
  <c r="C270"/>
  <c r="B270"/>
  <c r="K269"/>
  <c r="J269"/>
  <c r="I269"/>
  <c r="H269"/>
  <c r="E269"/>
  <c r="D269"/>
  <c r="C269"/>
  <c r="B269"/>
  <c r="K268"/>
  <c r="J268"/>
  <c r="I268"/>
  <c r="H268"/>
  <c r="E268"/>
  <c r="D268"/>
  <c r="C268"/>
  <c r="B268"/>
  <c r="K267"/>
  <c r="J267"/>
  <c r="I267"/>
  <c r="H267"/>
  <c r="E267"/>
  <c r="D267"/>
  <c r="C267"/>
  <c r="B267"/>
  <c r="K266"/>
  <c r="J266"/>
  <c r="I266"/>
  <c r="H266"/>
  <c r="E266"/>
  <c r="D266"/>
  <c r="C266"/>
  <c r="B266"/>
  <c r="K265"/>
  <c r="J265"/>
  <c r="I265"/>
  <c r="H265"/>
  <c r="E265"/>
  <c r="D265"/>
  <c r="C265"/>
  <c r="B265"/>
  <c r="K264"/>
  <c r="J264"/>
  <c r="I264"/>
  <c r="H264"/>
  <c r="E264"/>
  <c r="D264"/>
  <c r="C264"/>
  <c r="B264"/>
  <c r="K263"/>
  <c r="J263"/>
  <c r="I263"/>
  <c r="H263"/>
  <c r="E263"/>
  <c r="D263"/>
  <c r="C263"/>
  <c r="B263"/>
  <c r="K262"/>
  <c r="J262"/>
  <c r="I262"/>
  <c r="H262"/>
  <c r="E262"/>
  <c r="D262"/>
  <c r="C262"/>
  <c r="B262"/>
  <c r="K261"/>
  <c r="J261"/>
  <c r="I261"/>
  <c r="H261"/>
  <c r="E261"/>
  <c r="D261"/>
  <c r="C261"/>
  <c r="B261"/>
  <c r="K260"/>
  <c r="J260"/>
  <c r="I260"/>
  <c r="H260"/>
  <c r="E260"/>
  <c r="D260"/>
  <c r="C260"/>
  <c r="B260"/>
  <c r="K259"/>
  <c r="J259"/>
  <c r="I259"/>
  <c r="H259"/>
  <c r="E259"/>
  <c r="D259"/>
  <c r="C259"/>
  <c r="B259"/>
  <c r="K258"/>
  <c r="J258"/>
  <c r="I258"/>
  <c r="H258"/>
  <c r="E258"/>
  <c r="D258"/>
  <c r="C258"/>
  <c r="B258"/>
  <c r="K257"/>
  <c r="J257"/>
  <c r="I257"/>
  <c r="H257"/>
  <c r="E257"/>
  <c r="D257"/>
  <c r="C257"/>
  <c r="B257"/>
  <c r="K256"/>
  <c r="J256"/>
  <c r="I256"/>
  <c r="H256"/>
  <c r="E256"/>
  <c r="D256"/>
  <c r="C256"/>
  <c r="B256"/>
  <c r="K255"/>
  <c r="J255"/>
  <c r="I255"/>
  <c r="H255"/>
  <c r="E255"/>
  <c r="D255"/>
  <c r="C255"/>
  <c r="B255"/>
  <c r="K254"/>
  <c r="J254"/>
  <c r="I254"/>
  <c r="H254"/>
  <c r="E254"/>
  <c r="D254"/>
  <c r="C254"/>
  <c r="B254"/>
  <c r="K253"/>
  <c r="J253"/>
  <c r="I253"/>
  <c r="H253"/>
  <c r="E253"/>
  <c r="D253"/>
  <c r="C253"/>
  <c r="B253"/>
  <c r="K252"/>
  <c r="J252"/>
  <c r="I252"/>
  <c r="H252"/>
  <c r="E252"/>
  <c r="D252"/>
  <c r="C252"/>
  <c r="B252"/>
  <c r="K251"/>
  <c r="J251"/>
  <c r="I251"/>
  <c r="H251"/>
  <c r="E251"/>
  <c r="D251"/>
  <c r="C251"/>
  <c r="B251"/>
  <c r="K250"/>
  <c r="J250"/>
  <c r="I250"/>
  <c r="H250"/>
  <c r="E250"/>
  <c r="D250"/>
  <c r="C250"/>
  <c r="B250"/>
  <c r="K249"/>
  <c r="J249"/>
  <c r="I249"/>
  <c r="H249"/>
  <c r="E249"/>
  <c r="D249"/>
  <c r="C249"/>
  <c r="B249"/>
  <c r="K248"/>
  <c r="J248"/>
  <c r="I248"/>
  <c r="H248"/>
  <c r="E248"/>
  <c r="D248"/>
  <c r="C248"/>
  <c r="B248"/>
  <c r="K247"/>
  <c r="J247"/>
  <c r="I247"/>
  <c r="H247"/>
  <c r="E247"/>
  <c r="D247"/>
  <c r="C247"/>
  <c r="B247"/>
  <c r="K246"/>
  <c r="J246"/>
  <c r="I246"/>
  <c r="H246"/>
  <c r="E246"/>
  <c r="D246"/>
  <c r="C246"/>
  <c r="B246"/>
  <c r="K245"/>
  <c r="J245"/>
  <c r="I245"/>
  <c r="H245"/>
  <c r="E245"/>
  <c r="D245"/>
  <c r="C245"/>
  <c r="B245"/>
  <c r="K244"/>
  <c r="J244"/>
  <c r="I244"/>
  <c r="H244"/>
  <c r="E244"/>
  <c r="D244"/>
  <c r="C244"/>
  <c r="B244"/>
  <c r="K243"/>
  <c r="J243"/>
  <c r="I243"/>
  <c r="H243"/>
  <c r="E243"/>
  <c r="D243"/>
  <c r="C243"/>
  <c r="B243"/>
  <c r="K242"/>
  <c r="J242"/>
  <c r="I242"/>
  <c r="H242"/>
  <c r="E242"/>
  <c r="D242"/>
  <c r="C242"/>
  <c r="B242"/>
  <c r="K241"/>
  <c r="J241"/>
  <c r="I241"/>
  <c r="H241"/>
  <c r="E241"/>
  <c r="D241"/>
  <c r="C241"/>
  <c r="B241"/>
  <c r="K240"/>
  <c r="J240"/>
  <c r="I240"/>
  <c r="H240"/>
  <c r="E240"/>
  <c r="D240"/>
  <c r="C240"/>
  <c r="B240"/>
  <c r="K239"/>
  <c r="J239"/>
  <c r="I239"/>
  <c r="H239"/>
  <c r="E239"/>
  <c r="D239"/>
  <c r="C239"/>
  <c r="B239"/>
  <c r="K238"/>
  <c r="J238"/>
  <c r="I238"/>
  <c r="H238"/>
  <c r="E238"/>
  <c r="D238"/>
  <c r="C238"/>
  <c r="B238"/>
  <c r="K237"/>
  <c r="J237"/>
  <c r="I237"/>
  <c r="H237"/>
  <c r="E237"/>
  <c r="D237"/>
  <c r="C237"/>
  <c r="B237"/>
  <c r="K236"/>
  <c r="J236"/>
  <c r="I236"/>
  <c r="H236"/>
  <c r="E236"/>
  <c r="D236"/>
  <c r="C236"/>
  <c r="B236"/>
  <c r="K235"/>
  <c r="J235"/>
  <c r="I235"/>
  <c r="H235"/>
  <c r="E235"/>
  <c r="D235"/>
  <c r="C235"/>
  <c r="B235"/>
  <c r="K234"/>
  <c r="J234"/>
  <c r="I234"/>
  <c r="H234"/>
  <c r="E234"/>
  <c r="D234"/>
  <c r="C234"/>
  <c r="B234"/>
  <c r="K233"/>
  <c r="J233"/>
  <c r="I233"/>
  <c r="H233"/>
  <c r="E233"/>
  <c r="D233"/>
  <c r="C233"/>
  <c r="B233"/>
  <c r="K232"/>
  <c r="J232"/>
  <c r="I232"/>
  <c r="H232"/>
  <c r="E232"/>
  <c r="D232"/>
  <c r="C232"/>
  <c r="B232"/>
  <c r="K231"/>
  <c r="J231"/>
  <c r="I231"/>
  <c r="H231"/>
  <c r="E231"/>
  <c r="D231"/>
  <c r="C231"/>
  <c r="B231"/>
  <c r="K230"/>
  <c r="J230"/>
  <c r="I230"/>
  <c r="H230"/>
  <c r="E230"/>
  <c r="D230"/>
  <c r="C230"/>
  <c r="B230"/>
  <c r="K229"/>
  <c r="J229"/>
  <c r="I229"/>
  <c r="H229"/>
  <c r="E229"/>
  <c r="D229"/>
  <c r="C229"/>
  <c r="B229"/>
  <c r="K228"/>
  <c r="J228"/>
  <c r="I228"/>
  <c r="H228"/>
  <c r="E228"/>
  <c r="D228"/>
  <c r="C228"/>
  <c r="B228"/>
  <c r="K227"/>
  <c r="J227"/>
  <c r="I227"/>
  <c r="H227"/>
  <c r="E227"/>
  <c r="D227"/>
  <c r="C227"/>
  <c r="B227"/>
  <c r="K226"/>
  <c r="J226"/>
  <c r="I226"/>
  <c r="H226"/>
  <c r="E226"/>
  <c r="D226"/>
  <c r="C226"/>
  <c r="B226"/>
  <c r="K225"/>
  <c r="J225"/>
  <c r="I225"/>
  <c r="H225"/>
  <c r="E225"/>
  <c r="D225"/>
  <c r="C225"/>
  <c r="B225"/>
  <c r="K224"/>
  <c r="J224"/>
  <c r="I224"/>
  <c r="H224"/>
  <c r="E224"/>
  <c r="D224"/>
  <c r="C224"/>
  <c r="B224"/>
  <c r="K223"/>
  <c r="J223"/>
  <c r="I223"/>
  <c r="H223"/>
  <c r="E223"/>
  <c r="D223"/>
  <c r="C223"/>
  <c r="B223"/>
  <c r="K222"/>
  <c r="J222"/>
  <c r="I222"/>
  <c r="H222"/>
  <c r="E222"/>
  <c r="D222"/>
  <c r="C222"/>
  <c r="B222"/>
  <c r="K221"/>
  <c r="J221"/>
  <c r="I221"/>
  <c r="H221"/>
  <c r="E221"/>
  <c r="D221"/>
  <c r="C221"/>
  <c r="B221"/>
  <c r="K220"/>
  <c r="J220"/>
  <c r="I220"/>
  <c r="H220"/>
  <c r="E220"/>
  <c r="D220"/>
  <c r="C220"/>
  <c r="B220"/>
  <c r="K219"/>
  <c r="J219"/>
  <c r="I219"/>
  <c r="H219"/>
  <c r="E219"/>
  <c r="D219"/>
  <c r="C219"/>
  <c r="B219"/>
  <c r="K218"/>
  <c r="J218"/>
  <c r="I218"/>
  <c r="H218"/>
  <c r="E218"/>
  <c r="D218"/>
  <c r="C218"/>
  <c r="B218"/>
  <c r="K217"/>
  <c r="J217"/>
  <c r="I217"/>
  <c r="H217"/>
  <c r="E217"/>
  <c r="D217"/>
  <c r="C217"/>
  <c r="B217"/>
  <c r="K216"/>
  <c r="J216"/>
  <c r="I216"/>
  <c r="H216"/>
  <c r="E216"/>
  <c r="D216"/>
  <c r="C216"/>
  <c r="B216"/>
  <c r="K215"/>
  <c r="J215"/>
  <c r="I215"/>
  <c r="H215"/>
  <c r="E215"/>
  <c r="D215"/>
  <c r="C215"/>
  <c r="B215"/>
  <c r="K214"/>
  <c r="J214"/>
  <c r="I214"/>
  <c r="H214"/>
  <c r="E214"/>
  <c r="D214"/>
  <c r="C214"/>
  <c r="B214"/>
  <c r="K213"/>
  <c r="J213"/>
  <c r="I213"/>
  <c r="H213"/>
  <c r="E213"/>
  <c r="D213"/>
  <c r="C213"/>
  <c r="B213"/>
  <c r="K212"/>
  <c r="J212"/>
  <c r="I212"/>
  <c r="H212"/>
  <c r="E212"/>
  <c r="D212"/>
  <c r="C212"/>
  <c r="B212"/>
  <c r="K211"/>
  <c r="J211"/>
  <c r="I211"/>
  <c r="H211"/>
  <c r="E211"/>
  <c r="D211"/>
  <c r="C211"/>
  <c r="B211"/>
  <c r="K210"/>
  <c r="J210"/>
  <c r="I210"/>
  <c r="H210"/>
  <c r="E210"/>
  <c r="D210"/>
  <c r="C210"/>
  <c r="B210"/>
  <c r="K209"/>
  <c r="J209"/>
  <c r="I209"/>
  <c r="H209"/>
  <c r="E209"/>
  <c r="D209"/>
  <c r="C209"/>
  <c r="B209"/>
  <c r="K208"/>
  <c r="J208"/>
  <c r="I208"/>
  <c r="H208"/>
  <c r="E208"/>
  <c r="D208"/>
  <c r="C208"/>
  <c r="B208"/>
  <c r="K207"/>
  <c r="J207"/>
  <c r="I207"/>
  <c r="H207"/>
  <c r="E207"/>
  <c r="D207"/>
  <c r="C207"/>
  <c r="B207"/>
  <c r="K206"/>
  <c r="J206"/>
  <c r="I206"/>
  <c r="H206"/>
  <c r="E206"/>
  <c r="D206"/>
  <c r="C206"/>
  <c r="B206"/>
  <c r="K205"/>
  <c r="J205"/>
  <c r="I205"/>
  <c r="H205"/>
  <c r="E205"/>
  <c r="D205"/>
  <c r="C205"/>
  <c r="B205"/>
  <c r="K204"/>
  <c r="J204"/>
  <c r="I204"/>
  <c r="H204"/>
  <c r="E204"/>
  <c r="D204"/>
  <c r="C204"/>
  <c r="B204"/>
  <c r="K203"/>
  <c r="J203"/>
  <c r="I203"/>
  <c r="H203"/>
  <c r="E203"/>
  <c r="D203"/>
  <c r="C203"/>
  <c r="B203"/>
  <c r="K202"/>
  <c r="J202"/>
  <c r="I202"/>
  <c r="H202"/>
  <c r="E202"/>
  <c r="D202"/>
  <c r="C202"/>
  <c r="B202"/>
  <c r="K201"/>
  <c r="J201"/>
  <c r="I201"/>
  <c r="H201"/>
  <c r="E201"/>
  <c r="D201"/>
  <c r="C201"/>
  <c r="B201"/>
  <c r="K200"/>
  <c r="J200"/>
  <c r="I200"/>
  <c r="H200"/>
  <c r="E200"/>
  <c r="D200"/>
  <c r="C200"/>
  <c r="B200"/>
  <c r="K199"/>
  <c r="J199"/>
  <c r="I199"/>
  <c r="H199"/>
  <c r="E199"/>
  <c r="D199"/>
  <c r="C199"/>
  <c r="B199"/>
  <c r="K198"/>
  <c r="J198"/>
  <c r="I198"/>
  <c r="H198"/>
  <c r="E198"/>
  <c r="D198"/>
  <c r="C198"/>
  <c r="B198"/>
  <c r="K197"/>
  <c r="J197"/>
  <c r="I197"/>
  <c r="H197"/>
  <c r="E197"/>
  <c r="D197"/>
  <c r="C197"/>
  <c r="B197"/>
  <c r="K196"/>
  <c r="J196"/>
  <c r="I196"/>
  <c r="H196"/>
  <c r="E196"/>
  <c r="D196"/>
  <c r="C196"/>
  <c r="B196"/>
  <c r="K195"/>
  <c r="J195"/>
  <c r="I195"/>
  <c r="H195"/>
  <c r="E195"/>
  <c r="D195"/>
  <c r="C195"/>
  <c r="B195"/>
  <c r="K194"/>
  <c r="J194"/>
  <c r="I194"/>
  <c r="H194"/>
  <c r="E194"/>
  <c r="D194"/>
  <c r="C194"/>
  <c r="B194"/>
  <c r="K193"/>
  <c r="J193"/>
  <c r="I193"/>
  <c r="H193"/>
  <c r="E193"/>
  <c r="D193"/>
  <c r="C193"/>
  <c r="B193"/>
  <c r="K192"/>
  <c r="J192"/>
  <c r="I192"/>
  <c r="H192"/>
  <c r="E192"/>
  <c r="D192"/>
  <c r="C192"/>
  <c r="B192"/>
  <c r="K191"/>
  <c r="J191"/>
  <c r="I191"/>
  <c r="H191"/>
  <c r="E191"/>
  <c r="D191"/>
  <c r="C191"/>
  <c r="B191"/>
  <c r="K190"/>
  <c r="J190"/>
  <c r="I190"/>
  <c r="H190"/>
  <c r="E190"/>
  <c r="D190"/>
  <c r="C190"/>
  <c r="B190"/>
  <c r="K189"/>
  <c r="J189"/>
  <c r="I189"/>
  <c r="H189"/>
  <c r="E189"/>
  <c r="D189"/>
  <c r="C189"/>
  <c r="B189"/>
  <c r="K188"/>
  <c r="J188"/>
  <c r="I188"/>
  <c r="H188"/>
  <c r="E188"/>
  <c r="D188"/>
  <c r="C188"/>
  <c r="B188"/>
  <c r="K187"/>
  <c r="J187"/>
  <c r="I187"/>
  <c r="H187"/>
  <c r="E187"/>
  <c r="D187"/>
  <c r="C187"/>
  <c r="B187"/>
  <c r="K186"/>
  <c r="J186"/>
  <c r="I186"/>
  <c r="H186"/>
  <c r="E186"/>
  <c r="D186"/>
  <c r="C186"/>
  <c r="B186"/>
  <c r="K185"/>
  <c r="J185"/>
  <c r="I185"/>
  <c r="H185"/>
  <c r="E185"/>
  <c r="D185"/>
  <c r="C185"/>
  <c r="B185"/>
  <c r="K184"/>
  <c r="J184"/>
  <c r="I184"/>
  <c r="H184"/>
  <c r="E184"/>
  <c r="D184"/>
  <c r="C184"/>
  <c r="B184"/>
  <c r="K183"/>
  <c r="J183"/>
  <c r="I183"/>
  <c r="H183"/>
  <c r="E183"/>
  <c r="D183"/>
  <c r="C183"/>
  <c r="B183"/>
  <c r="K182"/>
  <c r="J182"/>
  <c r="I182"/>
  <c r="H182"/>
  <c r="E182"/>
  <c r="D182"/>
  <c r="C182"/>
  <c r="B182"/>
  <c r="K181"/>
  <c r="J181"/>
  <c r="I181"/>
  <c r="H181"/>
  <c r="E181"/>
  <c r="D181"/>
  <c r="C181"/>
  <c r="B181"/>
  <c r="K180"/>
  <c r="J180"/>
  <c r="I180"/>
  <c r="H180"/>
  <c r="E180"/>
  <c r="D180"/>
  <c r="C180"/>
  <c r="B180"/>
  <c r="K179"/>
  <c r="J179"/>
  <c r="I179"/>
  <c r="H179"/>
  <c r="E179"/>
  <c r="D179"/>
  <c r="C179"/>
  <c r="B179"/>
  <c r="K178"/>
  <c r="J178"/>
  <c r="I178"/>
  <c r="H178"/>
  <c r="E178"/>
  <c r="D178"/>
  <c r="C178"/>
  <c r="B178"/>
  <c r="K177"/>
  <c r="J177"/>
  <c r="I177"/>
  <c r="H177"/>
  <c r="E177"/>
  <c r="D177"/>
  <c r="C177"/>
  <c r="B177"/>
  <c r="K176"/>
  <c r="J176"/>
  <c r="I176"/>
  <c r="H176"/>
  <c r="E176"/>
  <c r="D176"/>
  <c r="C176"/>
  <c r="B176"/>
  <c r="K175"/>
  <c r="J175"/>
  <c r="I175"/>
  <c r="H175"/>
  <c r="E175"/>
  <c r="D175"/>
  <c r="C175"/>
  <c r="B175"/>
  <c r="K174"/>
  <c r="J174"/>
  <c r="I174"/>
  <c r="H174"/>
  <c r="E174"/>
  <c r="D174"/>
  <c r="C174"/>
  <c r="B174"/>
  <c r="K173"/>
  <c r="J173"/>
  <c r="I173"/>
  <c r="H173"/>
  <c r="E173"/>
  <c r="D173"/>
  <c r="C173"/>
  <c r="B173"/>
  <c r="K172"/>
  <c r="J172"/>
  <c r="I172"/>
  <c r="H172"/>
  <c r="E172"/>
  <c r="D172"/>
  <c r="C172"/>
  <c r="B172"/>
  <c r="K171"/>
  <c r="J171"/>
  <c r="I171"/>
  <c r="H171"/>
  <c r="E171"/>
  <c r="D171"/>
  <c r="C171"/>
  <c r="B171"/>
  <c r="K170"/>
  <c r="J170"/>
  <c r="I170"/>
  <c r="H170"/>
  <c r="E170"/>
  <c r="D170"/>
  <c r="C170"/>
  <c r="B170"/>
  <c r="K169"/>
  <c r="J169"/>
  <c r="I169"/>
  <c r="H169"/>
  <c r="E169"/>
  <c r="D169"/>
  <c r="C169"/>
  <c r="B169"/>
  <c r="K168"/>
  <c r="J168"/>
  <c r="I168"/>
  <c r="H168"/>
  <c r="E168"/>
  <c r="D168"/>
  <c r="C168"/>
  <c r="B168"/>
  <c r="K167"/>
  <c r="J167"/>
  <c r="I167"/>
  <c r="H167"/>
  <c r="E167"/>
  <c r="D167"/>
  <c r="C167"/>
  <c r="B167"/>
  <c r="K166"/>
  <c r="J166"/>
  <c r="I166"/>
  <c r="H166"/>
  <c r="E166"/>
  <c r="D166"/>
  <c r="C166"/>
  <c r="B166"/>
  <c r="K165"/>
  <c r="J165"/>
  <c r="I165"/>
  <c r="H165"/>
  <c r="E165"/>
  <c r="D165"/>
  <c r="C165"/>
  <c r="B165"/>
  <c r="K164"/>
  <c r="J164"/>
  <c r="I164"/>
  <c r="H164"/>
  <c r="E164"/>
  <c r="D164"/>
  <c r="C164"/>
  <c r="B164"/>
  <c r="K163"/>
  <c r="J163"/>
  <c r="I163"/>
  <c r="H163"/>
  <c r="E163"/>
  <c r="D163"/>
  <c r="C163"/>
  <c r="B163"/>
  <c r="K162"/>
  <c r="J162"/>
  <c r="I162"/>
  <c r="H162"/>
  <c r="E162"/>
  <c r="D162"/>
  <c r="C162"/>
  <c r="B162"/>
  <c r="K161"/>
  <c r="J161"/>
  <c r="I161"/>
  <c r="H161"/>
  <c r="E161"/>
  <c r="D161"/>
  <c r="C161"/>
  <c r="B161"/>
  <c r="K160"/>
  <c r="J160"/>
  <c r="I160"/>
  <c r="H160"/>
  <c r="E160"/>
  <c r="D160"/>
  <c r="C160"/>
  <c r="B160"/>
  <c r="K159"/>
  <c r="J159"/>
  <c r="I159"/>
  <c r="H159"/>
  <c r="E159"/>
  <c r="D159"/>
  <c r="C159"/>
  <c r="B159"/>
  <c r="K158"/>
  <c r="J158"/>
  <c r="I158"/>
  <c r="H158"/>
  <c r="E158"/>
  <c r="D158"/>
  <c r="C158"/>
  <c r="B158"/>
  <c r="K157"/>
  <c r="J157"/>
  <c r="I157"/>
  <c r="H157"/>
  <c r="E157"/>
  <c r="D157"/>
  <c r="C157"/>
  <c r="B157"/>
  <c r="K156"/>
  <c r="J156"/>
  <c r="I156"/>
  <c r="H156"/>
  <c r="E156"/>
  <c r="D156"/>
  <c r="C156"/>
  <c r="B156"/>
  <c r="K155"/>
  <c r="J155"/>
  <c r="I155"/>
  <c r="H155"/>
  <c r="E155"/>
  <c r="D155"/>
  <c r="C155"/>
  <c r="B155"/>
  <c r="K154"/>
  <c r="J154"/>
  <c r="I154"/>
  <c r="H154"/>
  <c r="E154"/>
  <c r="D154"/>
  <c r="C154"/>
  <c r="B154"/>
  <c r="K153"/>
  <c r="J153"/>
  <c r="I153"/>
  <c r="H153"/>
  <c r="E153"/>
  <c r="D153"/>
  <c r="C153"/>
  <c r="B153"/>
  <c r="K152"/>
  <c r="J152"/>
  <c r="I152"/>
  <c r="H152"/>
  <c r="E152"/>
  <c r="D152"/>
  <c r="C152"/>
  <c r="B152"/>
  <c r="K151"/>
  <c r="J151"/>
  <c r="I151"/>
  <c r="H151"/>
  <c r="E151"/>
  <c r="D151"/>
  <c r="C151"/>
  <c r="B151"/>
  <c r="K150"/>
  <c r="J150"/>
  <c r="I150"/>
  <c r="H150"/>
  <c r="E150"/>
  <c r="D150"/>
  <c r="C150"/>
  <c r="B150"/>
  <c r="K149"/>
  <c r="J149"/>
  <c r="I149"/>
  <c r="H149"/>
  <c r="E149"/>
  <c r="D149"/>
  <c r="C149"/>
  <c r="B149"/>
  <c r="K148"/>
  <c r="J148"/>
  <c r="I148"/>
  <c r="H148"/>
  <c r="E148"/>
  <c r="D148"/>
  <c r="C148"/>
  <c r="B148"/>
  <c r="K147"/>
  <c r="J147"/>
  <c r="I147"/>
  <c r="H147"/>
  <c r="E147"/>
  <c r="D147"/>
  <c r="C147"/>
  <c r="B147"/>
  <c r="K146"/>
  <c r="J146"/>
  <c r="I146"/>
  <c r="H146"/>
  <c r="E146"/>
  <c r="D146"/>
  <c r="C146"/>
  <c r="B146"/>
  <c r="K145"/>
  <c r="J145"/>
  <c r="I145"/>
  <c r="H145"/>
  <c r="E145"/>
  <c r="D145"/>
  <c r="C145"/>
  <c r="B145"/>
  <c r="K144"/>
  <c r="J144"/>
  <c r="I144"/>
  <c r="H144"/>
  <c r="E144"/>
  <c r="D144"/>
  <c r="C144"/>
  <c r="B144"/>
  <c r="K143"/>
  <c r="J143"/>
  <c r="I143"/>
  <c r="H143"/>
  <c r="E143"/>
  <c r="D143"/>
  <c r="C143"/>
  <c r="B143"/>
  <c r="K142"/>
  <c r="J142"/>
  <c r="I142"/>
  <c r="H142"/>
  <c r="E142"/>
  <c r="D142"/>
  <c r="C142"/>
  <c r="B142"/>
  <c r="K141"/>
  <c r="J141"/>
  <c r="I141"/>
  <c r="H141"/>
  <c r="E141"/>
  <c r="D141"/>
  <c r="C141"/>
  <c r="B141"/>
  <c r="K140"/>
  <c r="J140"/>
  <c r="I140"/>
  <c r="H140"/>
  <c r="E140"/>
  <c r="D140"/>
  <c r="C140"/>
  <c r="B140"/>
  <c r="K139"/>
  <c r="J139"/>
  <c r="I139"/>
  <c r="H139"/>
  <c r="E139"/>
  <c r="D139"/>
  <c r="C139"/>
  <c r="B139"/>
  <c r="K138"/>
  <c r="J138"/>
  <c r="I138"/>
  <c r="H138"/>
  <c r="E138"/>
  <c r="D138"/>
  <c r="C138"/>
  <c r="B138"/>
  <c r="K137"/>
  <c r="J137"/>
  <c r="I137"/>
  <c r="H137"/>
  <c r="E137"/>
  <c r="D137"/>
  <c r="C137"/>
  <c r="B137"/>
  <c r="K136"/>
  <c r="J136"/>
  <c r="I136"/>
  <c r="H136"/>
  <c r="E136"/>
  <c r="D136"/>
  <c r="C136"/>
  <c r="B136"/>
  <c r="K135"/>
  <c r="J135"/>
  <c r="I135"/>
  <c r="H135"/>
  <c r="E135"/>
  <c r="D135"/>
  <c r="C135"/>
  <c r="B135"/>
  <c r="K134"/>
  <c r="J134"/>
  <c r="I134"/>
  <c r="H134"/>
  <c r="E134"/>
  <c r="D134"/>
  <c r="C134"/>
  <c r="B134"/>
  <c r="K133"/>
  <c r="J133"/>
  <c r="I133"/>
  <c r="H133"/>
  <c r="E133"/>
  <c r="D133"/>
  <c r="C133"/>
  <c r="B133"/>
  <c r="K132"/>
  <c r="J132"/>
  <c r="I132"/>
  <c r="H132"/>
  <c r="E132"/>
  <c r="D132"/>
  <c r="C132"/>
  <c r="B132"/>
  <c r="K131"/>
  <c r="J131"/>
  <c r="I131"/>
  <c r="H131"/>
  <c r="E131"/>
  <c r="D131"/>
  <c r="C131"/>
  <c r="B131"/>
  <c r="K130"/>
  <c r="J130"/>
  <c r="I130"/>
  <c r="H130"/>
  <c r="E130"/>
  <c r="D130"/>
  <c r="C130"/>
  <c r="B130"/>
  <c r="K129"/>
  <c r="J129"/>
  <c r="I129"/>
  <c r="H129"/>
  <c r="E129"/>
  <c r="D129"/>
  <c r="C129"/>
  <c r="B129"/>
  <c r="K128"/>
  <c r="J128"/>
  <c r="I128"/>
  <c r="H128"/>
  <c r="E128"/>
  <c r="D128"/>
  <c r="C128"/>
  <c r="B128"/>
  <c r="K127"/>
  <c r="J127"/>
  <c r="I127"/>
  <c r="H127"/>
  <c r="E127"/>
  <c r="D127"/>
  <c r="C127"/>
  <c r="B127"/>
  <c r="K126"/>
  <c r="J126"/>
  <c r="I126"/>
  <c r="H126"/>
  <c r="E126"/>
  <c r="D126"/>
  <c r="C126"/>
  <c r="B126"/>
  <c r="K125"/>
  <c r="J125"/>
  <c r="I125"/>
  <c r="H125"/>
  <c r="E125"/>
  <c r="D125"/>
  <c r="C125"/>
  <c r="B125"/>
  <c r="K124"/>
  <c r="J124"/>
  <c r="I124"/>
  <c r="H124"/>
  <c r="E124"/>
  <c r="D124"/>
  <c r="C124"/>
  <c r="B124"/>
  <c r="K123"/>
  <c r="J123"/>
  <c r="I123"/>
  <c r="H123"/>
  <c r="E123"/>
  <c r="D123"/>
  <c r="C123"/>
  <c r="B123"/>
  <c r="K122"/>
  <c r="J122"/>
  <c r="I122"/>
  <c r="H122"/>
  <c r="E122"/>
  <c r="D122"/>
  <c r="C122"/>
  <c r="B122"/>
  <c r="K121"/>
  <c r="J121"/>
  <c r="I121"/>
  <c r="H121"/>
  <c r="E121"/>
  <c r="D121"/>
  <c r="C121"/>
  <c r="B121"/>
  <c r="K120"/>
  <c r="J120"/>
  <c r="I120"/>
  <c r="H120"/>
  <c r="E120"/>
  <c r="D120"/>
  <c r="C120"/>
  <c r="B120"/>
  <c r="K119"/>
  <c r="J119"/>
  <c r="I119"/>
  <c r="H119"/>
  <c r="E119"/>
  <c r="D119"/>
  <c r="C119"/>
  <c r="B119"/>
  <c r="K118"/>
  <c r="J118"/>
  <c r="I118"/>
  <c r="H118"/>
  <c r="E118"/>
  <c r="D118"/>
  <c r="C118"/>
  <c r="B118"/>
  <c r="K117"/>
  <c r="J117"/>
  <c r="I117"/>
  <c r="H117"/>
  <c r="E117"/>
  <c r="D117"/>
  <c r="C117"/>
  <c r="B117"/>
  <c r="K116"/>
  <c r="J116"/>
  <c r="I116"/>
  <c r="H116"/>
  <c r="E116"/>
  <c r="D116"/>
  <c r="C116"/>
  <c r="B116"/>
  <c r="K115"/>
  <c r="J115"/>
  <c r="I115"/>
  <c r="H115"/>
  <c r="E115"/>
  <c r="D115"/>
  <c r="C115"/>
  <c r="B115"/>
  <c r="K114"/>
  <c r="J114"/>
  <c r="I114"/>
  <c r="H114"/>
  <c r="E114"/>
  <c r="D114"/>
  <c r="C114"/>
  <c r="B114"/>
  <c r="K113"/>
  <c r="J113"/>
  <c r="I113"/>
  <c r="H113"/>
  <c r="E113"/>
  <c r="D113"/>
  <c r="C113"/>
  <c r="B113"/>
  <c r="K112"/>
  <c r="J112"/>
  <c r="I112"/>
  <c r="H112"/>
  <c r="E112"/>
  <c r="D112"/>
  <c r="C112"/>
  <c r="B112"/>
  <c r="K111"/>
  <c r="J111"/>
  <c r="I111"/>
  <c r="H111"/>
  <c r="E111"/>
  <c r="D111"/>
  <c r="C111"/>
  <c r="B111"/>
  <c r="K110"/>
  <c r="J110"/>
  <c r="I110"/>
  <c r="H110"/>
  <c r="E110"/>
  <c r="D110"/>
  <c r="C110"/>
  <c r="B110"/>
  <c r="K109"/>
  <c r="J109"/>
  <c r="I109"/>
  <c r="H109"/>
  <c r="E109"/>
  <c r="D109"/>
  <c r="C109"/>
  <c r="B109"/>
  <c r="K108"/>
  <c r="J108"/>
  <c r="I108"/>
  <c r="H108"/>
  <c r="E108"/>
  <c r="D108"/>
  <c r="C108"/>
  <c r="B108"/>
  <c r="K107"/>
  <c r="J107"/>
  <c r="I107"/>
  <c r="H107"/>
  <c r="E107"/>
  <c r="D107"/>
  <c r="C107"/>
  <c r="B107"/>
  <c r="K106"/>
  <c r="J106"/>
  <c r="I106"/>
  <c r="H106"/>
  <c r="E106"/>
  <c r="D106"/>
  <c r="C106"/>
  <c r="B106"/>
  <c r="K105"/>
  <c r="J105"/>
  <c r="I105"/>
  <c r="H105"/>
  <c r="E105"/>
  <c r="D105"/>
  <c r="C105"/>
  <c r="B105"/>
  <c r="K104"/>
  <c r="J104"/>
  <c r="I104"/>
  <c r="H104"/>
  <c r="E104"/>
  <c r="D104"/>
  <c r="C104"/>
  <c r="B104"/>
  <c r="K103"/>
  <c r="J103"/>
  <c r="I103"/>
  <c r="H103"/>
  <c r="E103"/>
  <c r="D103"/>
  <c r="C103"/>
  <c r="B103"/>
  <c r="K102"/>
  <c r="J102"/>
  <c r="I102"/>
  <c r="H102"/>
  <c r="E102"/>
  <c r="D102"/>
  <c r="C102"/>
  <c r="B102"/>
  <c r="K101"/>
  <c r="J101"/>
  <c r="I101"/>
  <c r="H101"/>
  <c r="E101"/>
  <c r="D101"/>
  <c r="C101"/>
  <c r="B101"/>
  <c r="K100"/>
  <c r="J100"/>
  <c r="I100"/>
  <c r="H100"/>
  <c r="E100"/>
  <c r="D100"/>
  <c r="C100"/>
  <c r="B100"/>
  <c r="K99"/>
  <c r="J99"/>
  <c r="I99"/>
  <c r="H99"/>
  <c r="E99"/>
  <c r="D99"/>
  <c r="C99"/>
  <c r="B99"/>
  <c r="K98"/>
  <c r="J98"/>
  <c r="I98"/>
  <c r="H98"/>
  <c r="E98"/>
  <c r="D98"/>
  <c r="C98"/>
  <c r="B98"/>
  <c r="K97"/>
  <c r="J97"/>
  <c r="I97"/>
  <c r="H97"/>
  <c r="E97"/>
  <c r="D97"/>
  <c r="C97"/>
  <c r="B97"/>
  <c r="K96"/>
  <c r="J96"/>
  <c r="I96"/>
  <c r="H96"/>
  <c r="E96"/>
  <c r="D96"/>
  <c r="C96"/>
  <c r="B96"/>
  <c r="K95"/>
  <c r="J95"/>
  <c r="I95"/>
  <c r="H95"/>
  <c r="E95"/>
  <c r="D95"/>
  <c r="C95"/>
  <c r="B95"/>
  <c r="K94"/>
  <c r="J94"/>
  <c r="I94"/>
  <c r="H94"/>
  <c r="E94"/>
  <c r="D94"/>
  <c r="C94"/>
  <c r="B94"/>
  <c r="K93"/>
  <c r="J93"/>
  <c r="I93"/>
  <c r="H93"/>
  <c r="E93"/>
  <c r="D93"/>
  <c r="C93"/>
  <c r="B93"/>
  <c r="K92"/>
  <c r="J92"/>
  <c r="I92"/>
  <c r="H92"/>
  <c r="E92"/>
  <c r="D92"/>
  <c r="C92"/>
  <c r="B92"/>
  <c r="K91"/>
  <c r="J91"/>
  <c r="I91"/>
  <c r="H91"/>
  <c r="E91"/>
  <c r="D91"/>
  <c r="C91"/>
  <c r="B91"/>
  <c r="K90"/>
  <c r="J90"/>
  <c r="I90"/>
  <c r="H90"/>
  <c r="E90"/>
  <c r="D90"/>
  <c r="C90"/>
  <c r="B90"/>
  <c r="K89"/>
  <c r="J89"/>
  <c r="I89"/>
  <c r="H89"/>
  <c r="E89"/>
  <c r="D89"/>
  <c r="C89"/>
  <c r="B89"/>
  <c r="K88"/>
  <c r="J88"/>
  <c r="I88"/>
  <c r="H88"/>
  <c r="E88"/>
  <c r="D88"/>
  <c r="C88"/>
  <c r="B88"/>
  <c r="K87"/>
  <c r="J87"/>
  <c r="I87"/>
  <c r="H87"/>
  <c r="E87"/>
  <c r="D87"/>
  <c r="C87"/>
  <c r="B87"/>
  <c r="K86"/>
  <c r="J86"/>
  <c r="I86"/>
  <c r="H86"/>
  <c r="E86"/>
  <c r="D86"/>
  <c r="C86"/>
  <c r="B86"/>
  <c r="K85"/>
  <c r="J85"/>
  <c r="I85"/>
  <c r="H85"/>
  <c r="E85"/>
  <c r="D85"/>
  <c r="C85"/>
  <c r="B85"/>
  <c r="K84"/>
  <c r="J84"/>
  <c r="I84"/>
  <c r="H84"/>
  <c r="E84"/>
  <c r="D84"/>
  <c r="C84"/>
  <c r="B84"/>
  <c r="K83"/>
  <c r="J83"/>
  <c r="I83"/>
  <c r="H83"/>
  <c r="E83"/>
  <c r="D83"/>
  <c r="C83"/>
  <c r="B83"/>
  <c r="K82"/>
  <c r="J82"/>
  <c r="I82"/>
  <c r="H82"/>
  <c r="E82"/>
  <c r="D82"/>
  <c r="C82"/>
  <c r="B82"/>
  <c r="K81"/>
  <c r="J81"/>
  <c r="I81"/>
  <c r="H81"/>
  <c r="E81"/>
  <c r="D81"/>
  <c r="C81"/>
  <c r="B81"/>
  <c r="K80"/>
  <c r="J80"/>
  <c r="I80"/>
  <c r="H80"/>
  <c r="E80"/>
  <c r="D80"/>
  <c r="C80"/>
  <c r="B80"/>
  <c r="K79"/>
  <c r="J79"/>
  <c r="I79"/>
  <c r="H79"/>
  <c r="E79"/>
  <c r="D79"/>
  <c r="C79"/>
  <c r="B79"/>
  <c r="K78"/>
  <c r="J78"/>
  <c r="I78"/>
  <c r="H78"/>
  <c r="E78"/>
  <c r="D78"/>
  <c r="C78"/>
  <c r="B78"/>
  <c r="K77"/>
  <c r="J77"/>
  <c r="I77"/>
  <c r="H77"/>
  <c r="E77"/>
  <c r="D77"/>
  <c r="C77"/>
  <c r="B77"/>
  <c r="K76"/>
  <c r="J76"/>
  <c r="I76"/>
  <c r="H76"/>
  <c r="E76"/>
  <c r="D76"/>
  <c r="C76"/>
  <c r="B76"/>
  <c r="K75"/>
  <c r="J75"/>
  <c r="I75"/>
  <c r="H75"/>
  <c r="E75"/>
  <c r="D75"/>
  <c r="C75"/>
  <c r="B75"/>
  <c r="K74"/>
  <c r="J74"/>
  <c r="I74"/>
  <c r="H74"/>
  <c r="E74"/>
  <c r="D74"/>
  <c r="C74"/>
  <c r="B74"/>
  <c r="K73"/>
  <c r="J73"/>
  <c r="I73"/>
  <c r="H73"/>
  <c r="E73"/>
  <c r="D73"/>
  <c r="C73"/>
  <c r="B73"/>
  <c r="K72"/>
  <c r="J72"/>
  <c r="I72"/>
  <c r="H72"/>
  <c r="E72"/>
  <c r="D72"/>
  <c r="C72"/>
  <c r="B72"/>
  <c r="K71"/>
  <c r="J71"/>
  <c r="I71"/>
  <c r="H71"/>
  <c r="E71"/>
  <c r="D71"/>
  <c r="C71"/>
  <c r="B71"/>
  <c r="K70"/>
  <c r="J70"/>
  <c r="I70"/>
  <c r="H70"/>
  <c r="E70"/>
  <c r="D70"/>
  <c r="C70"/>
  <c r="B70"/>
  <c r="K69"/>
  <c r="J69"/>
  <c r="I69"/>
  <c r="H69"/>
  <c r="E69"/>
  <c r="D69"/>
  <c r="C69"/>
  <c r="B69"/>
  <c r="K68"/>
  <c r="J68"/>
  <c r="I68"/>
  <c r="H68"/>
  <c r="E68"/>
  <c r="D68"/>
  <c r="C68"/>
  <c r="B68"/>
  <c r="K67"/>
  <c r="J67"/>
  <c r="I67"/>
  <c r="H67"/>
  <c r="E67"/>
  <c r="D67"/>
  <c r="C67"/>
  <c r="B67"/>
  <c r="K66"/>
  <c r="J66"/>
  <c r="I66"/>
  <c r="H66"/>
  <c r="E66"/>
  <c r="D66"/>
  <c r="C66"/>
  <c r="B66"/>
  <c r="K65"/>
  <c r="J65"/>
  <c r="I65"/>
  <c r="H65"/>
  <c r="E65"/>
  <c r="D65"/>
  <c r="C65"/>
  <c r="B65"/>
  <c r="K64"/>
  <c r="J64"/>
  <c r="I64"/>
  <c r="H64"/>
  <c r="E64"/>
  <c r="D64"/>
  <c r="C64"/>
  <c r="B64"/>
  <c r="K63"/>
  <c r="E63"/>
  <c r="G58"/>
  <c r="A58"/>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E5"/>
  <c r="E11"/>
  <c r="E12"/>
  <c r="D5"/>
  <c r="D11"/>
  <c r="D12"/>
  <c r="C11"/>
  <c r="C12"/>
  <c r="A1"/>
  <c r="H50" i="3"/>
  <c r="H51"/>
  <c r="S40"/>
  <c r="S41"/>
  <c r="S42"/>
  <c r="J41"/>
  <c r="L41"/>
  <c r="J40"/>
  <c r="L40"/>
  <c r="B34"/>
  <c r="B33"/>
  <c r="L25"/>
  <c r="L26"/>
  <c r="L27"/>
  <c r="A1"/>
  <c r="R141" i="18"/>
  <c r="A1"/>
  <c r="I154" i="7"/>
  <c r="P141"/>
  <c r="P140"/>
  <c r="P71"/>
  <c r="P69"/>
  <c r="P67"/>
  <c r="H59"/>
  <c r="P49"/>
  <c r="P50"/>
  <c r="P51"/>
  <c r="P52"/>
  <c r="P53"/>
  <c r="P58"/>
  <c r="H50"/>
  <c r="H51"/>
  <c r="H49"/>
  <c r="H52"/>
  <c r="H53"/>
  <c r="H54"/>
  <c r="H55"/>
  <c r="I51"/>
  <c r="I50"/>
  <c r="F46"/>
  <c r="F45"/>
  <c r="F44"/>
  <c r="F43"/>
  <c r="F42"/>
  <c r="L24"/>
  <c r="J7"/>
  <c r="J6"/>
  <c r="A1"/>
  <c r="A3" i="37"/>
  <c r="A2"/>
  <c r="A1" i="34"/>
  <c r="J1661" i="35" l="1"/>
  <c r="M1659"/>
  <c r="O2786"/>
  <c r="O2498" s="1"/>
  <c r="L2699"/>
</calcChain>
</file>

<file path=xl/sharedStrings.xml><?xml version="1.0" encoding="utf-8"?>
<sst xmlns="http://schemas.openxmlformats.org/spreadsheetml/2006/main" count="10318" uniqueCount="4140">
  <si>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</si>
  <si>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</si>
  <si>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</si>
  <si>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</si>
  <si>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</si>
  <si>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</si>
  <si>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</si>
  <si>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</si>
  <si>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</si>
  <si>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</si>
  <si>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</si>
  <si>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</si>
  <si>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</si>
  <si>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</si>
  <si>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</si>
  <si>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</si>
  <si>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</si>
  <si>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</si>
  <si>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</si>
  <si>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</si>
  <si>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</si>
  <si>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</si>
  <si>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</si>
  <si>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</si>
  <si>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</si>
  <si>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</si>
  <si>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</si>
  <si>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</si>
  <si>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</si>
  <si>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</si>
  <si>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</si>
  <si>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</si>
  <si>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</si>
  <si>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</si>
  <si>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</si>
  <si>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</si>
  <si>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</si>
  <si>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</si>
  <si>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</si>
  <si>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</si>
  <si>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</si>
  <si>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</si>
  <si>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</si>
  <si>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</si>
  <si>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</si>
  <si>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</si>
  <si>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</si>
  <si>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</si>
  <si>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</si>
  <si>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</si>
  <si>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</si>
  <si>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</si>
  <si>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</si>
  <si>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</si>
  <si>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</si>
  <si>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</si>
  <si>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</si>
  <si>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</si>
  <si>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</si>
  <si>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</si>
  <si>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</si>
  <si>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</si>
  <si>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</si>
  <si>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</si>
  <si>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</si>
  <si>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</si>
  <si>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</si>
  <si>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</si>
  <si>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</si>
  <si>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</si>
  <si>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</si>
  <si>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</si>
  <si>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</si>
  <si>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</si>
  <si>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</si>
  <si>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</si>
  <si>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</si>
  <si>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</si>
  <si>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</si>
  <si>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</si>
  <si>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</si>
  <si>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</si>
  <si>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</si>
  <si>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</si>
  <si>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</si>
  <si>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</si>
  <si>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</si>
  <si>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</si>
  <si>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</si>
  <si>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</si>
  <si>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</si>
  <si>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</si>
  <si>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</si>
  <si>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</si>
  <si>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</si>
  <si>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</si>
  <si>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</si>
  <si>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</si>
  <si>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</si>
  <si>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</si>
  <si>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</si>
  <si>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</si>
  <si>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</si>
  <si>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</si>
  <si>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</si>
  <si>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</si>
  <si>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</si>
  <si>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</si>
  <si>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</si>
  <si>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</si>
  <si>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</si>
  <si>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</si>
  <si>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</si>
  <si>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</si>
  <si>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</si>
  <si>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</si>
  <si>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</si>
  <si>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</si>
  <si>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</si>
  <si>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</si>
  <si>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</si>
  <si>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</si>
  <si>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</si>
  <si>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</si>
  <si>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</si>
  <si>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</si>
  <si>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</si>
  <si>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</si>
  <si>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</si>
  <si>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</si>
  <si>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</si>
  <si>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</si>
  <si>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</si>
  <si>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</si>
  <si>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</si>
  <si>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</si>
  <si>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</si>
  <si>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</si>
  <si>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</si>
  <si>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</si>
  <si>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</si>
  <si>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</si>
  <si>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</si>
  <si>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</si>
  <si>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</si>
  <si>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</si>
  <si>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</si>
  <si>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</si>
  <si>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</si>
  <si>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</si>
  <si>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</si>
  <si>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</si>
  <si>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</si>
  <si>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</si>
  <si>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</si>
  <si>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</si>
  <si>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</si>
  <si>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</si>
  <si>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</si>
  <si>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</si>
  <si>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</si>
  <si>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</si>
  <si>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</si>
  <si>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</si>
  <si>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</si>
  <si>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</si>
  <si>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</si>
  <si>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</si>
  <si>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</si>
  <si>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</si>
  <si>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</si>
  <si>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</si>
  <si>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</si>
  <si>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</si>
  <si>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</si>
  <si>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</si>
  <si>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</si>
  <si>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</si>
  <si>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</si>
  <si>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</si>
  <si>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</si>
  <si>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</si>
  <si>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</si>
  <si>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</si>
  <si>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</si>
  <si>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</si>
  <si>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</si>
  <si>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</si>
  <si>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</si>
  <si>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</si>
  <si>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</si>
  <si>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</si>
  <si>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</si>
  <si>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</si>
  <si>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</si>
  <si>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</si>
  <si>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</si>
  <si>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</si>
  <si>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</si>
  <si>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</si>
  <si>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</si>
  <si>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</si>
  <si>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</si>
  <si>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</si>
  <si>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</si>
  <si>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</si>
  <si>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</si>
  <si>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</si>
  <si>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</si>
  <si>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</si>
  <si>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</si>
  <si>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</si>
  <si>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</si>
  <si>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</si>
  <si>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</si>
  <si>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</si>
  <si>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</si>
  <si>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</si>
  <si>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</si>
  <si>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</si>
  <si>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</si>
  <si>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</si>
  <si>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</si>
  <si>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</si>
  <si>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</si>
  <si>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</si>
  <si>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</si>
  <si>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</si>
  <si>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</si>
  <si>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</si>
  <si>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</si>
  <si>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</si>
  <si>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</si>
  <si>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</si>
  <si>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</si>
  <si>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</si>
  <si>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</si>
  <si>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</si>
  <si>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</si>
  <si>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</si>
  <si>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</si>
  <si>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</si>
  <si>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</si>
  <si>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</si>
  <si>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</si>
  <si>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</si>
  <si>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</si>
  <si>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</si>
  <si>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</si>
  <si>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</si>
  <si>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</si>
  <si>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</si>
  <si>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</si>
  <si>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</si>
  <si>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</si>
  <si>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</si>
  <si>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</si>
  <si>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</si>
  <si>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</si>
  <si>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</si>
  <si>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</si>
  <si>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</si>
  <si>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</si>
  <si>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</si>
  <si>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</si>
  <si>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</si>
  <si>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</si>
  <si>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</si>
  <si>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</si>
  <si>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</si>
  <si>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</si>
  <si>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</si>
  <si>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</si>
  <si>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</si>
  <si>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</si>
  <si>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</si>
  <si>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</si>
  <si>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</si>
  <si>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</si>
  <si>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</si>
  <si>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</si>
  <si>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</si>
  <si>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</si>
  <si>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</si>
  <si>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</si>
  <si>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</si>
  <si>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</si>
  <si>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</si>
  <si>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</si>
  <si>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</si>
  <si>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</si>
  <si>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</si>
  <si>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</si>
  <si>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</si>
  <si>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</si>
  <si>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</si>
  <si>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</si>
  <si>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</si>
  <si>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</si>
  <si>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</si>
  <si>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</si>
  <si>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</si>
  <si>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</si>
  <si>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</si>
  <si>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</si>
  <si>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</si>
  <si>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</si>
  <si>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</si>
  <si>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</si>
  <si>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</si>
  <si>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</si>
  <si>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</si>
  <si>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</si>
  <si>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</si>
  <si>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</si>
  <si>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</si>
  <si>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</si>
  <si>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</si>
  <si>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</si>
  <si>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</si>
  <si>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</si>
  <si>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</si>
  <si>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</si>
  <si>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</si>
  <si>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</si>
  <si>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</si>
  <si>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</si>
  <si>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</si>
  <si>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</si>
  <si>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</si>
  <si>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</si>
  <si>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</si>
  <si>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</si>
  <si>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</si>
  <si>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</si>
  <si>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</si>
  <si>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</si>
  <si>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</si>
  <si>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</si>
  <si>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</si>
  <si>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</si>
  <si>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</si>
  <si>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</si>
  <si>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</si>
  <si>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</si>
  <si>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</si>
  <si>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</si>
  <si>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</si>
  <si>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</si>
  <si>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</si>
  <si>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</si>
  <si>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</si>
  <si>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</si>
  <si>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</si>
  <si>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</si>
  <si>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</si>
  <si>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</si>
  <si>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</si>
  <si>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</si>
  <si>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</si>
  <si>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</si>
  <si>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</si>
  <si>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</si>
  <si>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</si>
  <si>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</si>
  <si>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</si>
  <si>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</si>
  <si>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</si>
  <si>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</si>
  <si>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</si>
  <si>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</si>
  <si>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</si>
  <si>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</si>
  <si>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</si>
  <si>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</si>
  <si>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</si>
  <si>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</si>
  <si>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</si>
  <si>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</si>
  <si>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</si>
  <si>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</si>
  <si>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</si>
  <si>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</si>
  <si>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</si>
  <si>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</si>
  <si>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</si>
  <si>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</si>
  <si>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</si>
  <si>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</si>
  <si>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</si>
  <si>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</si>
  <si>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</si>
  <si>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</si>
  <si>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</si>
  <si>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</si>
  <si>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</si>
  <si>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</si>
  <si>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</si>
  <si>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</si>
  <si>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</si>
  <si>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</si>
  <si>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</si>
  <si>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</si>
  <si>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</si>
  <si>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</si>
  <si>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</si>
  <si>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</si>
  <si>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</si>
  <si>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</si>
  <si>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</si>
  <si>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</si>
  <si>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</si>
  <si>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</si>
  <si>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</si>
  <si>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</si>
  <si>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</si>
  <si>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</si>
  <si>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</si>
  <si>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</si>
  <si>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</si>
  <si>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</si>
  <si>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</si>
  <si>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</si>
  <si>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</si>
  <si>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</si>
  <si>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</si>
  <si>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</si>
  <si>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</si>
  <si>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</si>
  <si>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</si>
  <si>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</si>
  <si>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</si>
  <si>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</si>
  <si>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</si>
  <si>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</si>
  <si>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</si>
  <si>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</si>
  <si>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</si>
  <si>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</si>
  <si>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</si>
  <si>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</si>
  <si>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</si>
  <si>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</si>
  <si>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</si>
  <si>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</si>
  <si>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</si>
  <si>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</si>
  <si>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</si>
  <si>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</si>
  <si>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</si>
  <si>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</si>
  <si>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</si>
  <si>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</si>
  <si>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</si>
  <si>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</si>
  <si>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</si>
  <si>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</si>
  <si>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</si>
  <si>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</si>
  <si>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</si>
  <si>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</si>
  <si>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</si>
  <si>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</si>
  <si>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</si>
  <si>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</si>
  <si>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</si>
  <si>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</si>
  <si>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</si>
  <si>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</si>
  <si>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</si>
  <si>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</si>
  <si>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</si>
  <si>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</si>
  <si>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</si>
  <si>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</si>
  <si>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</si>
  <si>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</si>
  <si>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</si>
  <si>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</si>
  <si>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</si>
  <si>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</si>
  <si>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</si>
  <si>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</si>
  <si>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</si>
  <si>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</si>
  <si>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</si>
  <si>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</si>
  <si>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</si>
  <si>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</si>
  <si>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</si>
  <si>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</si>
  <si>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</si>
  <si>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</si>
  <si>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</si>
  <si>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</si>
  <si>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</si>
  <si>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</si>
  <si>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</si>
  <si>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</si>
  <si>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</si>
  <si>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</si>
  <si>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</si>
  <si>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</si>
  <si>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</si>
  <si>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</si>
  <si>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</si>
  <si>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</si>
  <si>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</si>
  <si>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</si>
  <si>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</si>
  <si>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</si>
  <si>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</si>
  <si>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</si>
  <si>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</si>
  <si>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</si>
  <si>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</si>
  <si>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</si>
  <si>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</si>
  <si>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</si>
  <si>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</si>
  <si>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</si>
  <si>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</si>
  <si>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</si>
  <si>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</si>
  <si>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</si>
  <si>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</si>
  <si>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</si>
  <si>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</si>
  <si>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</si>
  <si>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</si>
  <si>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</si>
  <si>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</si>
  <si>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</si>
  <si>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</si>
  <si>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</si>
  <si>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</si>
  <si>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</si>
  <si>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</si>
  <si>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</si>
  <si>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</si>
  <si>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</si>
  <si>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</si>
  <si>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</si>
  <si>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</si>
  <si>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</si>
  <si>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</si>
  <si>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</si>
  <si>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</si>
  <si>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</si>
  <si>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</si>
  <si>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</si>
  <si>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</si>
  <si>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</si>
  <si>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</si>
  <si>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</si>
  <si>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</si>
  <si>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</si>
  <si>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</si>
  <si>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</si>
  <si>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</si>
  <si>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</si>
  <si>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</si>
  <si>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</si>
  <si>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</si>
  <si>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</si>
  <si>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</si>
  <si>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</si>
  <si>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</si>
  <si>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</si>
  <si>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</si>
  <si>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</si>
  <si>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</si>
  <si>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</si>
  <si>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</si>
  <si>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</si>
  <si>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</si>
  <si>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</si>
  <si>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</si>
  <si>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</si>
  <si>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</si>
  <si>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</si>
  <si>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</si>
  <si>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</si>
  <si>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</si>
  <si>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</si>
  <si>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</si>
  <si>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</si>
  <si>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</si>
  <si>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</si>
  <si>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</si>
  <si>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</si>
  <si>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</si>
  <si>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</si>
  <si>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</si>
  <si>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</si>
  <si>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</si>
  <si>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</si>
  <si>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</si>
  <si>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</si>
  <si>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</si>
  <si>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</si>
  <si>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</si>
  <si>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</si>
  <si>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</si>
  <si>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</si>
  <si>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</si>
  <si>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</si>
  <si>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</si>
  <si>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</si>
  <si>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</si>
  <si>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</si>
  <si>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</si>
  <si>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</si>
  <si>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</si>
  <si>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</si>
  <si>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</si>
  <si>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</si>
  <si>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</si>
  <si>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</si>
  <si>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</si>
  <si>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</si>
  <si>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</si>
  <si>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</si>
  <si>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</si>
  <si>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</si>
  <si>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</si>
  <si>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</si>
  <si>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</si>
  <si>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</si>
  <si>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</si>
  <si>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</si>
  <si>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</si>
  <si>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</si>
  <si>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</si>
  <si>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</si>
  <si>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</si>
  <si>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</si>
  <si>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</si>
  <si>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</si>
  <si>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</si>
  <si>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</si>
  <si>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</si>
  <si>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</si>
  <si>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</si>
  <si>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</si>
  <si>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</si>
  <si>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</si>
  <si>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</si>
  <si>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</si>
  <si>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</si>
  <si>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</si>
  <si>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</si>
  <si>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</si>
  <si>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</si>
  <si>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</si>
  <si>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</si>
  <si>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</si>
  <si>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</si>
  <si>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</si>
  <si>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</si>
  <si>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</si>
  <si>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</si>
  <si>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</si>
  <si>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</si>
  <si>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</si>
  <si>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</si>
  <si>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</si>
  <si>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</si>
  <si>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</si>
  <si>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</si>
  <si>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</si>
  <si>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</si>
  <si>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</si>
  <si>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</si>
  <si>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</si>
  <si>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</si>
  <si>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</si>
  <si>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</si>
  <si>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</si>
  <si>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</si>
  <si>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</si>
  <si>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</si>
  <si>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</si>
  <si>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</si>
  <si>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</si>
  <si>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</si>
  <si>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</si>
  <si>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</si>
  <si>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</si>
  <si>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</si>
  <si>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</si>
  <si>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</si>
  <si>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</si>
  <si>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</si>
  <si>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</si>
  <si>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</si>
  <si>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</si>
  <si>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</si>
  <si>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</si>
  <si>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</si>
  <si>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</si>
  <si>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</si>
  <si>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</si>
  <si>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</si>
  <si>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</si>
  <si>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</si>
  <si>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</si>
  <si>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</si>
  <si>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</si>
  <si>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</si>
  <si>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</si>
  <si>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</si>
  <si>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</si>
  <si>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</si>
  <si>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</si>
  <si>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</si>
  <si>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</si>
  <si>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</si>
  <si>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</si>
  <si>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</si>
  <si>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</si>
  <si>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</si>
  <si>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</si>
  <si>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</si>
  <si>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</si>
  <si>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</si>
  <si>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</si>
  <si>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</si>
  <si>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</si>
  <si>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</si>
  <si>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</si>
  <si>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</si>
  <si>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</si>
  <si>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</si>
  <si>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</si>
  <si>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</si>
  <si>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</si>
  <si>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</si>
  <si>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</si>
  <si>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</si>
  <si>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</si>
  <si>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</si>
  <si>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</si>
  <si>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</si>
  <si>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</si>
  <si>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</si>
  <si>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</si>
  <si>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</si>
  <si>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</si>
  <si>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</si>
  <si>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</si>
  <si>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</si>
  <si>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</si>
  <si>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</si>
  <si>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</si>
  <si>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</si>
  <si>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</si>
  <si>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</si>
  <si>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</si>
  <si>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</si>
  <si>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</si>
  <si>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</si>
  <si>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</si>
  <si>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</si>
  <si>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</si>
  <si>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</si>
  <si>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</si>
  <si>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</si>
  <si>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</si>
  <si>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</si>
  <si>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</si>
  <si>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</si>
  <si>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</si>
  <si>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</si>
  <si>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</si>
  <si>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</si>
  <si>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</si>
  <si>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</si>
  <si>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</si>
  <si>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</si>
  <si>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</si>
  <si>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</si>
  <si>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</si>
  <si>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</si>
  <si>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</si>
  <si>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</si>
  <si>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</si>
  <si>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</si>
  <si>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</si>
  <si>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</si>
  <si>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</si>
  <si>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</si>
  <si>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</si>
  <si>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</si>
  <si>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</si>
  <si>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</si>
  <si>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</si>
  <si>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</si>
  <si>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</si>
  <si>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</si>
  <si>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</si>
  <si>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</si>
  <si>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</si>
  <si>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</si>
  <si>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</si>
  <si>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</si>
  <si>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</si>
  <si>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</si>
  <si>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</si>
  <si>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</si>
  <si>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</si>
  <si>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</si>
  <si>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</si>
  <si>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</si>
  <si>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</si>
  <si>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</si>
  <si>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</si>
  <si>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</si>
  <si>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</si>
  <si>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</si>
  <si>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</si>
  <si>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</si>
  <si>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</si>
  <si>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</si>
  <si>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</si>
  <si>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</si>
  <si>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</si>
  <si>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</si>
  <si>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</si>
  <si>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</si>
  <si>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</si>
  <si>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</si>
  <si>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</si>
  <si>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</si>
  <si>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</si>
  <si>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</si>
  <si>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</si>
  <si>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</si>
  <si>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</si>
  <si>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</si>
  <si>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</si>
  <si>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</si>
  <si>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</si>
  <si>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</si>
  <si>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</si>
  <si>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</si>
  <si>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</si>
  <si>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</si>
  <si>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</si>
  <si>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</si>
  <si>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</si>
  <si>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</si>
  <si>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</si>
  <si>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</si>
  <si>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</si>
  <si>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</si>
  <si>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</si>
  <si>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</si>
  <si>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</si>
  <si>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</si>
  <si>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</si>
  <si>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</si>
  <si>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</si>
  <si>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</si>
  <si>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</si>
  <si>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</si>
  <si>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</si>
  <si>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</si>
  <si>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</si>
  <si>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</si>
  <si>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</si>
  <si>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</si>
  <si>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</si>
  <si>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</si>
  <si>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</si>
  <si>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</si>
  <si>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</si>
  <si>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</si>
  <si>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</si>
  <si>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</si>
  <si>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</si>
  <si>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</si>
  <si>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</si>
  <si>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</si>
  <si>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</si>
  <si>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</si>
  <si>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</si>
  <si>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</si>
  <si>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</si>
  <si>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</si>
  <si>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</si>
  <si>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</si>
  <si>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</si>
  <si>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</si>
  <si>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</si>
  <si>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</si>
  <si>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</si>
  <si>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</si>
  <si>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</si>
  <si>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</si>
  <si>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</si>
  <si>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</si>
  <si>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</si>
  <si>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</si>
  <si>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</si>
  <si>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</si>
  <si>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</si>
  <si>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</si>
  <si>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</si>
  <si>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</si>
  <si>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</si>
  <si>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</si>
  <si>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</si>
  <si>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</si>
  <si>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</si>
  <si>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</si>
  <si>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</si>
  <si>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</si>
  <si>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</si>
  <si>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</si>
  <si>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</si>
  <si>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</si>
  <si>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</si>
  <si>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</si>
  <si>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</si>
  <si>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</si>
  <si>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</si>
  <si>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</si>
  <si>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</si>
  <si>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</si>
  <si>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</si>
  <si>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</si>
  <si>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</si>
  <si>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</si>
  <si>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</si>
  <si>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</si>
  <si>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</si>
  <si>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</si>
  <si>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</si>
  <si>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</si>
  <si>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</si>
  <si>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</si>
  <si>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</si>
  <si>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</si>
  <si>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</si>
  <si>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</si>
  <si>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</si>
  <si>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</si>
  <si>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</si>
  <si>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</si>
  <si>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</si>
  <si>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</si>
  <si>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</si>
  <si>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</si>
  <si>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</si>
  <si>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</si>
  <si>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</si>
  <si>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</si>
  <si>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</si>
  <si>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</si>
  <si>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</si>
  <si>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</si>
  <si>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</si>
  <si>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</si>
  <si>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</si>
  <si>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</si>
  <si>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</si>
  <si>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</si>
  <si>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</si>
  <si>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</si>
  <si>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</si>
  <si>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</si>
  <si>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</si>
  <si>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</si>
  <si>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</si>
  <si>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</si>
  <si>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</si>
  <si>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</si>
  <si>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</si>
  <si>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</si>
  <si>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</si>
  <si>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</si>
  <si>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</si>
  <si>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</si>
  <si>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</si>
  <si>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</si>
  <si>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</si>
  <si>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</si>
  <si>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</si>
  <si>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</si>
  <si>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</si>
  <si>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</si>
  <si>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</si>
  <si>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</si>
  <si>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</si>
  <si>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</si>
  <si>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</si>
  <si>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</si>
  <si>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</si>
  <si>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</si>
  <si>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</si>
  <si>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</si>
  <si>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</si>
  <si>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</si>
  <si>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</si>
  <si>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</si>
  <si>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</si>
  <si>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</si>
  <si>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</si>
  <si>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</si>
  <si>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</si>
  <si>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</si>
  <si>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</si>
  <si>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</si>
  <si>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</si>
  <si>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</si>
  <si>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</si>
  <si>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</si>
  <si>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</si>
  <si>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</si>
  <si>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</si>
  <si>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</si>
  <si>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</si>
  <si>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</si>
  <si>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</si>
  <si>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</si>
  <si>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</si>
  <si>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</si>
  <si>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</si>
  <si>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</si>
  <si>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</si>
  <si>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</si>
  <si>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</si>
  <si>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</si>
  <si>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</si>
  <si>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</si>
  <si>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</si>
  <si>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</si>
  <si>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</si>
  <si>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</si>
  <si>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</si>
  <si>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</si>
  <si>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</si>
  <si>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</si>
  <si>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</si>
  <si>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</si>
  <si>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</si>
  <si>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</si>
  <si>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</si>
  <si>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</si>
  <si>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</si>
  <si>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</si>
  <si>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</si>
  <si>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</si>
  <si>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</si>
  <si>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</si>
  <si>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</si>
  <si>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</si>
  <si>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</si>
  <si>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</si>
  <si>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</si>
  <si>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</si>
  <si>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</si>
  <si>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</si>
  <si>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</si>
  <si>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</si>
  <si>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</si>
  <si>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</si>
  <si>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</si>
  <si>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</si>
  <si>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</si>
  <si>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</si>
  <si>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</si>
  <si>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</si>
  <si>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</si>
  <si>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</si>
  <si>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</si>
  <si>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</si>
  <si>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</si>
  <si>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</si>
  <si>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</si>
  <si>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</si>
  <si>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</si>
  <si>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</si>
  <si>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</si>
  <si>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</si>
  <si>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</si>
  <si>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</si>
  <si>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</si>
  <si>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</si>
  <si>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</si>
  <si>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</si>
  <si>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</si>
  <si>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</si>
  <si>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</si>
  <si>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</si>
  <si>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</si>
  <si>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</si>
  <si>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</si>
  <si>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</si>
  <si>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</si>
  <si>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</si>
  <si>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</si>
  <si>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</si>
  <si>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</si>
  <si>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</si>
  <si>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</si>
  <si>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</si>
  <si>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</si>
  <si>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</si>
  <si>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</si>
  <si>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</si>
  <si>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</si>
  <si>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</si>
  <si>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</si>
  <si>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</si>
  <si>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</si>
  <si>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</si>
  <si>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</si>
  <si>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</si>
  <si>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</si>
  <si>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</si>
  <si>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</si>
  <si>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</si>
  <si>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</si>
  <si>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</si>
  <si>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</si>
  <si>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</si>
  <si>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</si>
  <si>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</si>
  <si>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</si>
  <si>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</si>
  <si>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</si>
  <si>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</si>
  <si>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</si>
  <si>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</si>
  <si>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</si>
  <si>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</si>
  <si>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</si>
  <si>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</si>
  <si>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</si>
  <si>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</si>
  <si>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</si>
  <si>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</si>
  <si>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</si>
  <si>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</si>
  <si>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</si>
  <si>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</si>
  <si>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</si>
  <si>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</si>
  <si>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</si>
  <si>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</si>
  <si>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</si>
  <si>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</si>
  <si>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</si>
  <si>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</si>
  <si>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</si>
  <si>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</si>
  <si>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</si>
  <si>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</si>
  <si>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</si>
  <si>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</si>
  <si>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</si>
  <si>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</si>
  <si>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</si>
  <si>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</si>
  <si>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</si>
  <si>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</si>
  <si>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</si>
  <si>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</si>
  <si>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</si>
  <si>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</si>
  <si>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</si>
  <si>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</si>
  <si>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</si>
  <si>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</si>
  <si>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</si>
  <si>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</si>
  <si>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</si>
  <si>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</si>
  <si>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</si>
  <si>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</si>
  <si>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</si>
  <si>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</si>
  <si>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</si>
  <si>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</si>
  <si>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</si>
  <si>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</si>
  <si>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</si>
  <si>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</si>
  <si>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</si>
  <si>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</si>
  <si>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</si>
  <si>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</si>
  <si>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</si>
  <si>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</si>
  <si>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</si>
  <si>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</si>
  <si>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</si>
  <si>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</si>
  <si>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</si>
  <si>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</si>
  <si>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</si>
  <si>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</si>
  <si>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</si>
  <si>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</si>
  <si>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</si>
  <si>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</si>
  <si>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</si>
  <si>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</si>
  <si>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</si>
  <si>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</si>
  <si>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</si>
  <si>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</si>
  <si>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</si>
  <si>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</si>
  <si>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</si>
  <si>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</si>
  <si>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</si>
  <si>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</si>
  <si>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</si>
  <si>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</si>
  <si>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</si>
  <si>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</si>
  <si>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</si>
  <si>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</si>
  <si>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</si>
  <si>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</si>
  <si>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</si>
  <si>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</si>
  <si>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</si>
  <si>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</si>
  <si>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</si>
  <si>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</si>
  <si>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</si>
  <si>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</si>
  <si>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</si>
  <si>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</si>
  <si>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</si>
  <si>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</si>
  <si>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</si>
  <si>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</si>
  <si>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</si>
  <si>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</si>
  <si>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</si>
  <si>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</si>
  <si>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</si>
  <si>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</si>
  <si>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</si>
  <si>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</si>
  <si>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</si>
  <si>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</si>
  <si>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</si>
  <si>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</si>
  <si>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</si>
  <si>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</si>
  <si>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</si>
  <si>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</si>
  <si>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</si>
  <si>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</si>
  <si>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</si>
  <si>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</si>
  <si>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</si>
  <si>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</si>
  <si>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</si>
  <si>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</si>
  <si>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</si>
  <si>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</si>
  <si>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</si>
  <si>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</si>
  <si>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</si>
  <si>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</si>
  <si>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</si>
  <si>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</si>
  <si>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</si>
  <si>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</si>
  <si>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</si>
  <si>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</si>
  <si>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</si>
  <si>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</si>
  <si>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</si>
  <si>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</si>
  <si>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</si>
  <si>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</si>
  <si>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</si>
  <si>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</si>
  <si>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</si>
  <si>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</si>
  <si>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</si>
  <si>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</si>
  <si>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</si>
  <si>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</si>
  <si>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</si>
  <si>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</si>
  <si>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</si>
  <si>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</si>
  <si>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</si>
  <si>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</si>
  <si>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</si>
  <si>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</si>
  <si>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</si>
  <si>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</si>
  <si>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</si>
  <si>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</si>
  <si>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</si>
  <si>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</si>
  <si>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</si>
  <si>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</si>
  <si>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</si>
  <si>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</si>
  <si>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</si>
  <si>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</si>
  <si>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</si>
  <si>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</si>
  <si>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</si>
  <si>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</si>
  <si>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</si>
  <si>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</si>
  <si>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</si>
  <si>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</si>
  <si>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</si>
  <si>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</si>
  <si>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</si>
  <si>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</si>
  <si>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</si>
  <si>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</si>
  <si>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</si>
  <si>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</si>
  <si>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</si>
  <si>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</si>
  <si>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</si>
  <si>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</si>
  <si>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</si>
  <si>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</si>
  <si>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</si>
  <si>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</si>
  <si>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</si>
  <si>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</si>
  <si>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</si>
  <si>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</si>
  <si>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</si>
  <si>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</si>
  <si>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</si>
  <si>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</si>
  <si>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</si>
  <si>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</si>
  <si>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</si>
  <si>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</si>
  <si>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</si>
  <si>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</si>
  <si>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</si>
  <si>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</si>
  <si>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</si>
  <si>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</si>
  <si>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</si>
  <si>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</si>
  <si>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</si>
  <si>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</si>
  <si>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</si>
  <si>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</si>
  <si>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</si>
  <si>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</si>
  <si>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</si>
  <si>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</si>
  <si>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</si>
  <si>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</si>
  <si>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</si>
  <si>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</si>
  <si>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</si>
  <si>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</si>
  <si>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</si>
  <si>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</si>
  <si>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</si>
  <si>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</si>
  <si>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</si>
  <si>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</si>
  <si>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</si>
  <si>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</si>
  <si>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</si>
  <si>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</si>
  <si>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</si>
  <si>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</si>
  <si>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</si>
  <si>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</si>
  <si>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</si>
  <si>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</si>
  <si>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</si>
  <si>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</si>
  <si>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</si>
  <si>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</si>
  <si>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</si>
  <si>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</si>
  <si>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</si>
  <si>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</si>
  <si>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</si>
  <si>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</si>
  <si>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</si>
  <si>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</si>
  <si>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</si>
  <si>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</si>
  <si>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</si>
  <si>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</si>
  <si>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</si>
  <si>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</si>
  <si>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</si>
  <si>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</si>
  <si>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</si>
  <si>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</si>
  <si>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</si>
  <si>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</si>
  <si>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</si>
  <si>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</si>
  <si>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</si>
  <si>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</si>
  <si>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</si>
  <si>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</si>
  <si>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</si>
  <si>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</si>
  <si>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</si>
  <si>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</si>
  <si>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</si>
  <si>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</si>
  <si>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</si>
  <si>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</si>
  <si>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</si>
  <si>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</si>
  <si>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</si>
  <si>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</si>
  <si>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</si>
  <si>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</si>
  <si>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</si>
  <si>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</si>
  <si>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</si>
  <si>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</si>
  <si>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</si>
  <si>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</si>
  <si>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</si>
  <si>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</si>
  <si>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</si>
  <si>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</si>
  <si>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</si>
  <si>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</si>
  <si>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</si>
  <si>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</si>
  <si>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</si>
  <si>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</si>
  <si>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</si>
  <si>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</si>
  <si>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</si>
  <si>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</si>
  <si>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</si>
  <si>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</si>
  <si>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</si>
  <si>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</si>
  <si>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</si>
  <si>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</si>
  <si>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</si>
  <si>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</si>
  <si>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</si>
  <si>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</si>
  <si>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</si>
  <si>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</si>
  <si>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</si>
  <si>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</si>
  <si>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</si>
  <si>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</si>
  <si>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</si>
  <si>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</si>
  <si>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</si>
  <si>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</si>
  <si>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</si>
  <si>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</si>
  <si>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</si>
  <si>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</si>
  <si>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</si>
  <si>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</si>
  <si>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</si>
  <si>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</si>
  <si>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</si>
  <si>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</si>
  <si>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</si>
  <si>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</si>
  <si>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</si>
  <si>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</si>
  <si>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</si>
  <si>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</si>
  <si>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</si>
  <si>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</si>
  <si>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</si>
  <si>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</si>
  <si>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</si>
  <si>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</si>
  <si>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</si>
  <si>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</si>
  <si>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</si>
  <si>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</si>
  <si>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</si>
  <si>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</si>
  <si>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</si>
  <si>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</si>
  <si>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</si>
  <si>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</si>
  <si>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</si>
  <si>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</si>
  <si>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</si>
  <si>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</si>
  <si>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</si>
  <si>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</si>
  <si>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</si>
  <si>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</si>
  <si>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</si>
  <si>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</si>
  <si>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</si>
  <si>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</si>
  <si>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</si>
  <si>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</si>
  <si>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</si>
  <si>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</si>
  <si>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</si>
  <si>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</si>
  <si>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</si>
  <si>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</si>
  <si>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</si>
  <si>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</si>
  <si>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</si>
  <si>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</si>
  <si>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</si>
  <si>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</si>
  <si>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</si>
  <si>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</si>
  <si>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</si>
  <si>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</si>
  <si>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</si>
  <si>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</si>
  <si>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</si>
  <si>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</si>
  <si>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</si>
  <si>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</si>
  <si>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</si>
  <si>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</si>
  <si>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</si>
  <si>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</si>
  <si>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</si>
  <si>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</si>
  <si>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</si>
  <si>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</si>
  <si>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</si>
  <si>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</si>
  <si>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</si>
  <si>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</si>
  <si>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</si>
  <si>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</si>
  <si>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</si>
  <si>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</si>
  <si>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</si>
  <si>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</si>
  <si>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</si>
  <si>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</si>
  <si>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</si>
  <si>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</si>
  <si>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</si>
  <si>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</si>
  <si>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</si>
  <si>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</si>
  <si>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</si>
  <si>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</si>
  <si>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</si>
  <si>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</si>
  <si>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</si>
  <si>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</si>
  <si>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</si>
  <si>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</si>
  <si>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</si>
  <si>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</si>
  <si>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</si>
  <si>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</si>
  <si>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</si>
  <si>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</si>
  <si>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</si>
  <si>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</si>
  <si>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</si>
  <si>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</si>
  <si>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</si>
  <si>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</si>
  <si>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</si>
  <si>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</si>
  <si>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</si>
  <si>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</si>
  <si>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</si>
  <si>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</si>
  <si>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</si>
  <si>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</si>
  <si>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</si>
  <si>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</si>
  <si>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</si>
  <si>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</si>
  <si>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</si>
  <si>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</si>
  <si>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</si>
  <si>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</si>
  <si>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</si>
  <si>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</si>
  <si>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</si>
  <si>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</si>
  <si>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</si>
  <si>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</si>
  <si>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</si>
  <si>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</si>
  <si>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</si>
  <si>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</si>
  <si>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</si>
  <si>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</si>
  <si>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</si>
  <si>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</si>
  <si>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</si>
  <si>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</si>
  <si>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</si>
  <si>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</si>
  <si>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</si>
  <si>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</si>
  <si>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</si>
  <si>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</si>
  <si>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</si>
  <si>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</si>
  <si>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</si>
  <si>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</si>
  <si>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</si>
  <si>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</si>
  <si>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</si>
  <si>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</si>
  <si>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</si>
  <si>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</si>
  <si>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</si>
  <si>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</si>
  <si>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</si>
  <si>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</si>
  <si>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</si>
  <si>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</si>
  <si>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</si>
  <si>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</si>
  <si>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</si>
  <si>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</si>
  <si>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</si>
  <si>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</si>
  <si>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</si>
  <si>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</si>
  <si>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</si>
  <si>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</si>
  <si>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</si>
  <si>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</si>
  <si>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</si>
  <si>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</si>
  <si>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</si>
  <si>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</si>
  <si>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</si>
  <si>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</si>
  <si>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</si>
  <si>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</si>
  <si>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</si>
  <si>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</si>
  <si>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</si>
  <si>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</si>
  <si>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</si>
  <si>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</si>
  <si>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</si>
  <si>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</si>
  <si>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</si>
  <si>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</si>
  <si>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</si>
  <si>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</si>
  <si>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</si>
  <si>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</si>
  <si>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</si>
  <si>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</si>
  <si>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</si>
  <si>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</si>
  <si>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</si>
  <si>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</si>
  <si>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</si>
  <si>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</si>
  <si>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</si>
  <si>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</si>
  <si>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</si>
  <si>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</si>
  <si>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</si>
  <si>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</si>
  <si>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</si>
  <si>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</si>
  <si>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</si>
  <si>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</si>
  <si>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</si>
  <si>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</si>
  <si>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</si>
  <si>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</si>
  <si>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</si>
  <si>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</si>
  <si>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</si>
  <si>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</si>
  <si>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</si>
  <si>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</si>
  <si>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</si>
  <si>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</si>
  <si>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</si>
  <si>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</si>
  <si>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</si>
  <si>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</si>
  <si>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</si>
  <si>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</si>
  <si>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</si>
  <si>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</si>
  <si>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</si>
  <si>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</si>
  <si>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</si>
  <si>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</si>
  <si>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</si>
  <si>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</si>
  <si>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</si>
  <si>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</si>
  <si>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</si>
  <si>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</si>
  <si>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</si>
  <si>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</si>
  <si>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</si>
  <si>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</si>
  <si>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</si>
  <si>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</si>
  <si>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</si>
  <si>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</si>
  <si>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</si>
  <si>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</si>
  <si>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</si>
  <si>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</si>
  <si>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</si>
  <si>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</si>
  <si>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</si>
  <si>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</si>
  <si>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</si>
  <si>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</si>
  <si>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</si>
  <si>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</si>
  <si>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</si>
  <si>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</si>
  <si>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</si>
  <si>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</si>
  <si>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</si>
  <si>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</si>
  <si>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</si>
  <si>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</si>
  <si>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</si>
  <si>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</si>
  <si>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</si>
  <si>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</si>
  <si>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</si>
  <si>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</si>
  <si>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</si>
  <si>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</si>
  <si>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</si>
  <si>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</si>
  <si>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</si>
  <si>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</si>
  <si>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</si>
  <si>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</si>
  <si>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</si>
  <si>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</si>
  <si>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</si>
  <si>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</si>
  <si>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</si>
  <si>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</si>
  <si>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</si>
  <si>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</si>
  <si>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</si>
  <si>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</si>
  <si>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</si>
  <si>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</si>
  <si>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</si>
  <si>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</si>
  <si>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</si>
  <si>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</si>
  <si>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</si>
  <si>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</si>
  <si>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</si>
  <si>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</si>
  <si>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</si>
  <si>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</si>
  <si>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</si>
  <si>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</si>
  <si>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</si>
  <si>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</si>
  <si>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</si>
  <si>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</si>
  <si>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</si>
  <si>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</si>
  <si>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</si>
  <si>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</si>
  <si>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</si>
  <si>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</si>
  <si>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</si>
  <si>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</si>
  <si>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</si>
  <si>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</si>
  <si>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</si>
  <si>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</si>
  <si>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</si>
  <si>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</si>
  <si>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</si>
  <si>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</si>
  <si>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</si>
  <si>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</si>
  <si>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</si>
  <si>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</si>
  <si>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</si>
  <si>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</si>
  <si>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</si>
  <si>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</si>
  <si>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</si>
  <si>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</si>
  <si>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</si>
  <si>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</si>
  <si>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</si>
  <si>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</si>
  <si>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</si>
  <si>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</si>
  <si>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</si>
  <si>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</si>
  <si>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</si>
  <si>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</si>
  <si>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</si>
  <si>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</si>
  <si>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</si>
  <si>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</si>
  <si>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</si>
  <si>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</si>
  <si>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</si>
  <si>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</si>
  <si>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</si>
  <si>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</si>
  <si>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</si>
  <si>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</si>
  <si>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</si>
  <si>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</si>
  <si>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</si>
  <si>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</si>
  <si>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</si>
  <si>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</si>
  <si>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</si>
  <si>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</si>
  <si>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</si>
  <si>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</si>
  <si>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</si>
  <si>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</si>
  <si>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</si>
  <si>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</si>
  <si>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</si>
  <si>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</si>
  <si>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</si>
  <si>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</si>
  <si>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</si>
  <si>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</si>
  <si>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</si>
  <si>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</si>
  <si>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</si>
  <si>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</si>
  <si>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</si>
  <si>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</si>
  <si>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</si>
  <si>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</si>
  <si>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</si>
  <si>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</si>
  <si>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</si>
  <si>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</si>
  <si>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</si>
  <si>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</si>
  <si>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</si>
  <si>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</si>
  <si>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</si>
  <si>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</si>
  <si>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</si>
  <si>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</si>
  <si>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</si>
  <si>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</si>
  <si>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</si>
  <si>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</si>
  <si>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</si>
  <si>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</si>
  <si>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</si>
  <si>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</si>
  <si>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</si>
  <si>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</si>
  <si>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</si>
  <si>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</si>
  <si>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</si>
  <si>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</si>
  <si>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</si>
  <si>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</si>
  <si>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</si>
  <si>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</si>
  <si>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</si>
  <si>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</si>
  <si>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</si>
  <si>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</si>
  <si>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</si>
  <si>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</si>
  <si>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</si>
  <si>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</si>
  <si>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</si>
  <si>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</si>
  <si>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</si>
  <si>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</si>
  <si>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</si>
  <si>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</si>
  <si>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</si>
  <si>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</si>
  <si>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</si>
  <si>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</si>
  <si>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</si>
  <si>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</si>
  <si>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</si>
  <si>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</si>
  <si>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</si>
  <si>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</si>
  <si>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</si>
  <si>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</si>
  <si>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</si>
  <si>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</si>
  <si>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</si>
  <si>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</si>
  <si>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</si>
  <si>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</si>
  <si>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</si>
  <si>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</si>
  <si>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</si>
  <si>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</si>
  <si>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</si>
  <si>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</si>
  <si>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</si>
  <si>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</si>
  <si>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</si>
  <si>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</si>
  <si>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</si>
  <si>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</si>
  <si>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</si>
  <si>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</si>
  <si>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</si>
  <si>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</si>
  <si>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</si>
  <si>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</si>
  <si>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</si>
  <si>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</si>
  <si>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</si>
  <si>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</si>
  <si>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</si>
  <si>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</si>
  <si>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</si>
  <si>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</si>
  <si>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</si>
  <si>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</si>
  <si>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</si>
  <si>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</si>
  <si>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</si>
  <si>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</si>
  <si>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</si>
  <si>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</si>
  <si>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</si>
  <si>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</si>
  <si>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</si>
  <si>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</si>
  <si>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</si>
  <si>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</si>
  <si>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</si>
  <si>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</si>
  <si>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</si>
  <si>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</si>
  <si>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</si>
  <si>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</si>
  <si>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</si>
  <si>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</si>
  <si>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</si>
  <si>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</si>
  <si>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</si>
  <si>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</si>
  <si>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</si>
  <si>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</si>
  <si>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</si>
  <si>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</si>
  <si>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</si>
  <si>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</si>
  <si>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</si>
  <si>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</si>
  <si>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</si>
  <si>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</si>
  <si>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</si>
  <si>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</si>
  <si>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</si>
  <si>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</si>
  <si>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</si>
  <si>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</si>
  <si>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</si>
  <si>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</si>
  <si>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</si>
  <si>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</si>
  <si>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</si>
  <si>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</si>
  <si>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</si>
  <si>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</si>
  <si>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</si>
  <si>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</si>
  <si>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</si>
  <si>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</si>
  <si>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</si>
  <si>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</si>
  <si>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</si>
  <si>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</si>
  <si>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</si>
  <si>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</si>
  <si>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</si>
  <si>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</si>
  <si>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</si>
  <si>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</si>
  <si>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</si>
  <si>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</si>
  <si>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</si>
  <si>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</si>
  <si>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</si>
  <si>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</si>
  <si>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</si>
  <si>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</si>
  <si>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</si>
  <si>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</si>
  <si>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</si>
  <si>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</si>
  <si>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</si>
  <si>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</si>
  <si>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</si>
  <si>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</si>
  <si>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</si>
  <si>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</si>
  <si>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</si>
  <si>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</si>
  <si>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</si>
  <si>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</si>
  <si>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</si>
  <si>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</si>
  <si>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</si>
  <si>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</si>
  <si>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</si>
  <si>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</si>
  <si>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</si>
  <si>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</si>
  <si>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</si>
  <si>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</si>
  <si>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</si>
  <si>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</si>
  <si>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</si>
  <si>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</si>
  <si>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</si>
  <si>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</si>
  <si>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</si>
  <si>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</si>
  <si>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</si>
  <si>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</si>
  <si>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</si>
  <si>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</si>
  <si>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</si>
  <si>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</si>
  <si>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</si>
  <si>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</si>
  <si>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</si>
  <si>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</si>
  <si>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</si>
  <si>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</si>
  <si>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</si>
  <si>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</si>
  <si>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</si>
  <si>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</si>
  <si>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</si>
  <si>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</si>
  <si>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</si>
  <si>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</si>
  <si>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</si>
  <si>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</si>
  <si>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</si>
  <si>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</si>
  <si>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</si>
  <si>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</si>
  <si>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</si>
  <si>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</si>
  <si>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</si>
  <si>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</si>
  <si>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</si>
  <si>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</si>
  <si>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</si>
  <si>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</si>
  <si>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</si>
  <si>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</si>
  <si>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</si>
  <si>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</si>
  <si>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</si>
  <si>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</si>
  <si>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</si>
  <si>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</si>
  <si>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</si>
  <si>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</si>
  <si>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</si>
  <si>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</si>
  <si>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</si>
  <si>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</si>
  <si>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</si>
  <si>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</si>
  <si>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</si>
  <si>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</si>
  <si>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</si>
  <si>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</si>
  <si>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</si>
  <si>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</si>
  <si>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</si>
  <si>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</si>
  <si>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</si>
  <si>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</si>
  <si>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</si>
  <si>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</si>
  <si>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</si>
  <si>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</si>
  <si>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</si>
  <si>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</si>
  <si>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</si>
  <si>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</si>
  <si>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</si>
  <si>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</si>
  <si>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</si>
  <si>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</si>
  <si>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</si>
  <si>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</si>
  <si>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</si>
  <si>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</si>
  <si>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</si>
  <si>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</si>
  <si>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</si>
  <si>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</si>
  <si>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</si>
  <si>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</si>
  <si>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</si>
  <si>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</si>
  <si>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</si>
  <si>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</si>
  <si>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</si>
  <si>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</si>
  <si>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</si>
  <si>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</si>
  <si>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</si>
  <si>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</si>
  <si>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</si>
  <si>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</si>
  <si>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</si>
  <si>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</si>
  <si>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</si>
  <si>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</si>
  <si>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</si>
  <si>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</si>
  <si>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</si>
  <si>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</si>
  <si>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</si>
  <si>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</si>
  <si>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</si>
  <si>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</si>
  <si>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</si>
  <si>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</si>
  <si>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</si>
  <si>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</si>
  <si>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</si>
  <si>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</si>
  <si>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</si>
  <si>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</si>
  <si>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</si>
  <si>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</si>
  <si>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</si>
  <si>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</si>
  <si>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</si>
  <si>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</si>
  <si>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</si>
  <si>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</si>
  <si>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</si>
  <si>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</si>
  <si>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</si>
  <si>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</si>
  <si>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</si>
  <si>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</si>
  <si>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</si>
  <si>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</si>
  <si>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</si>
  <si>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</si>
  <si>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</si>
  <si>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</si>
  <si>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</si>
  <si>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</si>
  <si>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</si>
  <si>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</si>
  <si>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</si>
  <si>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</si>
  <si>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</si>
  <si>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</si>
  <si>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</si>
  <si>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</si>
  <si>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</si>
  <si>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</si>
  <si>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</si>
  <si>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</si>
  <si>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</si>
  <si>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</si>
  <si>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</si>
  <si>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</si>
  <si>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</si>
  <si>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</si>
  <si>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</si>
  <si>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</si>
  <si>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</si>
  <si>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</si>
  <si>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</si>
  <si>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</si>
  <si>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</si>
  <si>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</si>
  <si>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</si>
  <si>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</si>
  <si>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</si>
  <si>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</si>
  <si>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</si>
  <si>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</si>
  <si>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</si>
  <si>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</si>
  <si>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</si>
  <si>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</si>
  <si>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</si>
  <si>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</si>
  <si>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</si>
  <si>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</si>
  <si>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</si>
  <si>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</si>
  <si>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</si>
  <si>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</si>
  <si>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</si>
  <si>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</si>
  <si>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</si>
  <si>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</si>
  <si>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</si>
  <si>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</si>
  <si>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</si>
  <si>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</si>
  <si>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</si>
  <si>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</si>
  <si>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</si>
  <si>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</si>
  <si>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</si>
  <si>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</si>
  <si>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</si>
  <si>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</si>
  <si>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</si>
  <si>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</si>
  <si>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</si>
  <si>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</si>
  <si>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</si>
  <si>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</si>
  <si>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</si>
  <si>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</si>
  <si>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</si>
  <si>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</si>
  <si>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</si>
  <si>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</si>
  <si>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</si>
  <si>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</si>
  <si>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</si>
  <si>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</si>
  <si>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</si>
  <si>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</si>
  <si>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</si>
  <si>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</si>
  <si>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</si>
  <si>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</si>
  <si>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</si>
  <si>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</si>
  <si>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</si>
  <si>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</si>
  <si>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</si>
  <si>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</si>
  <si>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</si>
  <si>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</si>
  <si>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</si>
  <si>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</si>
  <si>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</si>
  <si>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</si>
  <si>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</si>
  <si>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</si>
  <si>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</si>
  <si>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</si>
  <si>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</si>
  <si>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</si>
  <si>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</si>
  <si>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</si>
  <si>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</si>
  <si>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</si>
  <si>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</si>
  <si>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</si>
  <si>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</si>
  <si>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</si>
  <si>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</si>
  <si>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</si>
  <si>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</si>
  <si>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</si>
  <si>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</si>
  <si>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</si>
  <si>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</si>
  <si>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</si>
  <si>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</si>
  <si>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</si>
  <si>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</si>
  <si>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</si>
  <si>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</si>
  <si>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</si>
  <si>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</si>
  <si>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</si>
  <si>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</si>
  <si>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</si>
  <si>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</si>
  <si>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</si>
  <si>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</si>
  <si>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</si>
  <si>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</si>
  <si>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</si>
  <si>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</si>
  <si>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</si>
  <si>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</si>
  <si>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</si>
  <si>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</si>
  <si>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</si>
  <si>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</si>
  <si>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</si>
  <si>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</si>
  <si>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</si>
  <si>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</si>
  <si>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</si>
  <si>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</si>
  <si>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</si>
  <si>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</si>
  <si>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</si>
  <si>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</si>
  <si>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</si>
  <si>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</si>
  <si>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</si>
  <si>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</si>
  <si>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</si>
  <si>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</si>
  <si>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</si>
  <si>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</si>
  <si>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</si>
  <si>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</si>
  <si>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</si>
  <si>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</si>
  <si>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</si>
  <si>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</si>
  <si>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</si>
  <si>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</si>
  <si>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</si>
  <si>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</si>
  <si>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</si>
  <si>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</si>
  <si>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</si>
  <si>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</si>
  <si>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</si>
  <si>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</si>
  <si>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</si>
  <si>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</si>
  <si>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</si>
  <si>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</si>
  <si>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</si>
  <si>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</si>
  <si>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</si>
  <si>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</si>
  <si>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</si>
  <si>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</si>
  <si>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</si>
  <si>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</si>
  <si>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</si>
  <si>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</si>
  <si>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</si>
  <si>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</si>
  <si>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</si>
  <si>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</si>
  <si>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</si>
  <si>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</si>
  <si>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</si>
  <si>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</si>
  <si>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</si>
  <si>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</si>
  <si>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</si>
  <si>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</si>
  <si>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</si>
  <si>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</si>
  <si>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</si>
  <si>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</si>
  <si>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</si>
  <si>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</si>
  <si>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</si>
  <si>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</si>
  <si>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</si>
  <si>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</si>
  <si>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</si>
  <si>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</si>
  <si>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</si>
  <si>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</si>
  <si>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</si>
  <si>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</si>
  <si>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</si>
  <si>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</si>
  <si>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</si>
  <si>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</si>
  <si>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</si>
  <si>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</si>
  <si>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</si>
  <si>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</si>
  <si>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</si>
  <si>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</si>
  <si>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</si>
  <si>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</si>
  <si>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</si>
  <si>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</si>
  <si>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</si>
  <si>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</si>
  <si>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</si>
  <si>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</si>
  <si>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</si>
  <si>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</si>
  <si>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</si>
  <si>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</si>
  <si>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</si>
  <si>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</si>
  <si>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</si>
  <si>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</si>
  <si>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</si>
  <si>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</si>
  <si>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</si>
  <si>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</si>
  <si>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</si>
  <si>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</si>
  <si>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</si>
  <si>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</si>
  <si>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</si>
  <si>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</si>
  <si>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</si>
  <si>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</si>
  <si>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</si>
  <si>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</si>
  <si>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</si>
  <si>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</si>
  <si>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</si>
  <si>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</si>
  <si>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</si>
  <si>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</si>
  <si>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</si>
  <si>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</si>
  <si>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</si>
  <si>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</si>
  <si>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</si>
  <si>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</si>
  <si>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</si>
  <si>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</si>
  <si>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</si>
  <si>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</si>
  <si>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</si>
  <si>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</si>
  <si>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</si>
  <si>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</si>
  <si>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</si>
  <si>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</si>
  <si>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</si>
  <si>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</si>
  <si>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</si>
  <si>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</si>
  <si>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</si>
  <si>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</si>
  <si>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</si>
  <si>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</si>
  <si>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</si>
  <si>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</si>
  <si>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</si>
  <si>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</si>
  <si>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</si>
  <si>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</si>
  <si>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</si>
  <si>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</si>
  <si>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</si>
  <si>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</si>
  <si>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</si>
  <si>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</si>
  <si>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</si>
  <si>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</si>
  <si>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</si>
  <si>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</si>
  <si>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</si>
  <si>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</si>
  <si>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</si>
  <si>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</si>
  <si>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</si>
  <si>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</si>
  <si>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</si>
  <si>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</si>
  <si>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</si>
  <si>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</si>
  <si>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</si>
  <si>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</si>
  <si>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</si>
  <si>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</si>
  <si>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</si>
  <si>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</si>
  <si>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</si>
  <si>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</si>
  <si>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</si>
  <si>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</si>
  <si>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</si>
  <si>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</si>
  <si>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</si>
  <si>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</si>
  <si>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</si>
  <si>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</si>
  <si>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</si>
  <si>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</si>
  <si>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</si>
  <si>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</si>
  <si>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</si>
  <si>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</si>
  <si>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</si>
  <si>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</si>
  <si>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</si>
  <si>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</si>
  <si>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</si>
  <si>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</si>
  <si>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</si>
  <si>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</si>
  <si>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</si>
  <si>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</si>
  <si>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</si>
  <si>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</si>
  <si>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</si>
  <si>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</si>
  <si>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</si>
  <si>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</si>
  <si>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</si>
  <si>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</si>
  <si>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</si>
  <si>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</si>
  <si>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</si>
  <si>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</si>
  <si>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</si>
  <si>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</si>
  <si>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</si>
  <si>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</si>
  <si>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</si>
  <si>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</si>
  <si>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</si>
  <si>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</si>
  <si>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</si>
  <si>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</si>
  <si>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</si>
  <si>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</si>
  <si>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</si>
  <si>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</si>
  <si>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</si>
  <si>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</si>
  <si>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</si>
  <si>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</si>
  <si>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</si>
  <si>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</si>
  <si>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</si>
  <si>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</si>
  <si>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</si>
  <si>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</si>
  <si>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</si>
  <si>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</si>
  <si>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</si>
  <si>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</si>
  <si>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</si>
  <si>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</si>
  <si>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</si>
  <si>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</si>
  <si>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</si>
  <si>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</si>
  <si>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</si>
  <si>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</si>
  <si>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</si>
  <si>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</si>
  <si>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</si>
  <si>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</si>
  <si>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</si>
  <si>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</si>
  <si>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</si>
  <si>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</si>
  <si>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</si>
  <si>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</si>
  <si>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</si>
  <si>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</si>
  <si>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</si>
  <si>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</si>
  <si>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</si>
  <si>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</si>
  <si>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</si>
  <si>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</si>
  <si>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</si>
  <si>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</si>
  <si>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</si>
  <si>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</si>
  <si>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</si>
  <si>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</si>
  <si>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</si>
  <si>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</si>
  <si>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</si>
  <si>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</si>
  <si>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</si>
  <si>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</si>
  <si>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</si>
  <si>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</si>
  <si>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</si>
  <si>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</si>
  <si>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</si>
  <si>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</si>
  <si>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</si>
  <si>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</si>
  <si>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</si>
  <si>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</si>
  <si>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</si>
  <si>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</si>
  <si>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</si>
  <si>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</si>
  <si>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</si>
  <si>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</si>
  <si>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</si>
  <si>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</si>
  <si>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</si>
  <si>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</si>
  <si>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</si>
  <si>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</si>
  <si>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</si>
  <si>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</si>
  <si>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</si>
  <si>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</si>
  <si>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</si>
  <si>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</si>
  <si>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</si>
  <si>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</si>
  <si>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</si>
  <si>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</si>
  <si>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</si>
  <si>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</si>
  <si>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</si>
  <si>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</si>
  <si>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</si>
  <si>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</si>
  <si>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</si>
  <si>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</si>
  <si>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</si>
  <si>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</si>
  <si>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</si>
  <si>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</si>
  <si>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</si>
  <si>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</si>
  <si>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</si>
  <si>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</si>
  <si>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</si>
  <si>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</si>
  <si>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</si>
  <si>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</si>
  <si>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</si>
  <si>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</si>
  <si>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</si>
  <si>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</si>
  <si>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</si>
  <si>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</si>
  <si>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</si>
  <si>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</si>
  <si>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</si>
  <si>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</si>
  <si>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</si>
  <si>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</si>
  <si>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</si>
  <si>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</si>
  <si>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</si>
  <si>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</si>
  <si>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</si>
  <si>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</si>
  <si>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</si>
  <si>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</si>
  <si>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</si>
  <si>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</si>
  <si>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</si>
  <si>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</si>
  <si>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</si>
  <si>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</si>
  <si>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</si>
  <si>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</si>
  <si>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</si>
  <si>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</si>
  <si>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</si>
  <si>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</si>
  <si>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</si>
  <si>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</si>
  <si>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</si>
  <si>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</si>
  <si>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</si>
  <si>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</si>
  <si>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</si>
  <si>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</si>
  <si>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</si>
  <si>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</si>
  <si>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</si>
  <si>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</si>
  <si>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</si>
  <si>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</si>
  <si>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</si>
  <si>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</si>
  <si>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</si>
  <si>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</si>
  <si>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</si>
  <si>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</si>
  <si>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</si>
  <si>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</si>
  <si>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</si>
  <si>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</si>
  <si>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</si>
  <si>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</si>
  <si>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</si>
  <si>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</si>
  <si>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</si>
  <si>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</si>
  <si>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</si>
  <si>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</si>
  <si>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</si>
  <si>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</si>
  <si>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</si>
  <si>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</si>
  <si>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</si>
  <si>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</si>
  <si>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</si>
  <si>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</si>
  <si>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</si>
  <si>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</si>
  <si>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</si>
  <si>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</si>
  <si>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</si>
  <si>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</si>
  <si>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</si>
  <si>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</si>
  <si>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</si>
  <si>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</si>
  <si>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</si>
  <si>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</si>
  <si>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</si>
  <si>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</si>
  <si>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</si>
  <si>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</si>
  <si>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</si>
  <si>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</si>
  <si>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</si>
  <si>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</si>
  <si>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</si>
  <si>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</si>
  <si>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</si>
  <si>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</si>
  <si>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</si>
  <si>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</si>
  <si>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</si>
  <si>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</si>
  <si>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</si>
  <si>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</si>
  <si>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</si>
  <si>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</si>
  <si>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</si>
  <si>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</si>
  <si>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</si>
  <si>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</si>
  <si>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</si>
  <si>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</si>
  <si>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</si>
  <si>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</si>
  <si>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</si>
  <si>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</si>
  <si>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</si>
  <si>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</si>
  <si>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</si>
  <si>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</si>
  <si>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</si>
  <si>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</si>
  <si>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</si>
  <si>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</si>
  <si>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</si>
  <si>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</si>
  <si>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</si>
  <si>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</si>
  <si>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</si>
  <si>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</si>
  <si>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</si>
  <si>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</si>
  <si>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</si>
  <si>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</si>
  <si>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</si>
  <si>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</si>
  <si>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</si>
  <si>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</si>
  <si>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</si>
  <si>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</si>
  <si>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</si>
  <si>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</si>
  <si>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</si>
  <si>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</si>
  <si>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</si>
  <si>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</si>
  <si>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</si>
  <si>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</si>
  <si>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</si>
  <si>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</si>
  <si>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</si>
  <si>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</si>
  <si>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</si>
  <si>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</si>
  <si>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</si>
  <si>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</si>
  <si>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</si>
  <si>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</si>
  <si>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</si>
  <si>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</si>
  <si>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</si>
  <si>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</si>
  <si>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</si>
  <si>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</si>
  <si>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</si>
  <si>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</si>
  <si>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</si>
  <si>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</si>
  <si>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</si>
  <si>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</si>
  <si>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</si>
  <si>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</si>
  <si>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</si>
  <si>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</si>
  <si>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</si>
  <si>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</si>
  <si>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</si>
  <si>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</si>
  <si>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</si>
  <si>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</si>
  <si>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</si>
  <si>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</si>
  <si>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</si>
  <si>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</si>
  <si>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</si>
  <si>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</si>
  <si>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</si>
  <si>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</si>
  <si>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</si>
  <si>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</si>
  <si>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</si>
  <si>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</si>
  <si>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</si>
  <si>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</si>
  <si>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</si>
  <si>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</si>
  <si>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</si>
  <si>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</si>
  <si>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</si>
  <si>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</si>
  <si>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</si>
  <si>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</si>
  <si>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</si>
  <si>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</si>
  <si>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</si>
  <si>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</si>
  <si>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</si>
  <si>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</si>
  <si>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</si>
  <si>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</si>
  <si>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</si>
  <si>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</si>
  <si>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</si>
  <si>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</si>
  <si>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</si>
  <si>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</si>
  <si>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</si>
  <si>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</si>
  <si>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</si>
  <si>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</si>
  <si>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</si>
  <si>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</si>
  <si>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</si>
  <si>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</si>
  <si>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</si>
  <si>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</si>
  <si>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</si>
  <si>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</si>
  <si>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</si>
  <si>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</si>
  <si>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</si>
  <si>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</si>
  <si>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</si>
  <si>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</si>
  <si>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</si>
  <si>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</si>
  <si>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</si>
  <si>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</si>
  <si>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</si>
  <si>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</si>
  <si>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</si>
  <si>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</si>
  <si>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</si>
  <si>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</si>
  <si>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</si>
  <si>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</si>
  <si>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</si>
  <si>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</si>
  <si>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</si>
  <si>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</si>
  <si>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</si>
  <si>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</si>
  <si>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</si>
  <si>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</si>
  <si>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</si>
  <si>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</si>
  <si>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</si>
  <si>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</si>
  <si>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</si>
  <si>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</si>
  <si>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</si>
  <si>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</si>
  <si>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</si>
  <si>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</si>
  <si>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</si>
  <si>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</si>
  <si>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</si>
  <si>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</si>
  <si>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</si>
  <si>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</si>
  <si>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</si>
  <si>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</si>
  <si>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</si>
  <si>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</si>
  <si>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</si>
  <si>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</si>
  <si>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</si>
  <si>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</si>
  <si>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</si>
  <si>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</si>
  <si>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</si>
  <si>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</si>
  <si>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</si>
  <si>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</si>
  <si>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</si>
  <si>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</si>
  <si>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</si>
  <si>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</si>
  <si>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</si>
  <si>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</si>
  <si>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</si>
  <si>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</si>
  <si>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</si>
  <si>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</si>
  <si>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</si>
  <si>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</si>
  <si>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</si>
  <si>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</si>
  <si>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</si>
  <si>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</si>
  <si>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</si>
  <si>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</si>
  <si>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</si>
  <si>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</si>
  <si>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</si>
  <si>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</si>
  <si>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</si>
  <si>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</si>
  <si>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</si>
  <si>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</si>
  <si>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</si>
  <si>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</si>
  <si>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</si>
  <si>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</si>
  <si>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</si>
  <si>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</si>
  <si>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</si>
  <si>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</si>
  <si>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</si>
  <si>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</si>
  <si>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</si>
  <si>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</si>
  <si>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</si>
  <si>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</si>
  <si>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</si>
  <si>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</si>
  <si>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</si>
  <si>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</si>
  <si>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</si>
  <si>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</si>
  <si>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</si>
  <si>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</si>
  <si>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</si>
  <si>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</si>
  <si>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</si>
  <si>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</si>
  <si>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</si>
  <si>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</si>
  <si>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</si>
  <si>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</si>
  <si>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</si>
  <si>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</si>
  <si>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</si>
  <si>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</si>
  <si>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</si>
  <si>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</si>
  <si>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</si>
  <si>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</si>
  <si>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</si>
  <si>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</si>
  <si>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</si>
  <si>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</si>
  <si>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</si>
  <si>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</si>
  <si>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</si>
  <si>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</si>
  <si>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</si>
  <si>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</si>
  <si>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</si>
  <si>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</si>
  <si>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</si>
  <si>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</si>
  <si>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</si>
  <si>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</si>
  <si>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</si>
  <si>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</si>
  <si>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</si>
  <si>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</si>
  <si>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</si>
  <si>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</si>
  <si>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</si>
  <si>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</si>
  <si>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</si>
  <si>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</si>
  <si>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</si>
  <si>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</si>
  <si>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</si>
  <si>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</si>
  <si>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</si>
  <si>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</si>
  <si>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</si>
  <si>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</si>
  <si>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</si>
  <si>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</si>
  <si>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</si>
  <si>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</si>
  <si>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</si>
  <si>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</si>
  <si>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</si>
  <si>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</si>
  <si>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</si>
  <si>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</si>
  <si>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</si>
  <si>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</si>
  <si>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</si>
  <si>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</si>
  <si>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</si>
  <si>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</si>
  <si>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</si>
  <si>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</si>
  <si>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</si>
  <si>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</si>
  <si>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</si>
  <si>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</si>
  <si>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</si>
  <si>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</si>
  <si>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</si>
  <si>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</si>
  <si>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</si>
  <si>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</si>
  <si>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</si>
  <si>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</si>
  <si>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</si>
  <si>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</si>
  <si>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</si>
  <si>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</si>
  <si>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</si>
  <si>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</si>
  <si>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</si>
  <si>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</si>
  <si>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</si>
  <si>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</si>
  <si>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</si>
  <si>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</si>
  <si>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</si>
  <si>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</si>
  <si>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</si>
  <si>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</si>
  <si>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</si>
  <si>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</si>
  <si>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</si>
  <si>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</si>
  <si>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</si>
  <si>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</si>
  <si>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</si>
  <si>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</si>
  <si>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</si>
  <si>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</si>
  <si>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</si>
  <si>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</si>
  <si>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</si>
  <si>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</si>
  <si>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</si>
  <si>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</si>
  <si>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</si>
  <si>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</si>
  <si>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</si>
  <si>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</si>
  <si>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</si>
  <si>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</si>
  <si>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</si>
  <si>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</si>
  <si>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</si>
  <si>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</si>
  <si>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</si>
  <si>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</si>
  <si>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</si>
  <si>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</si>
  <si>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</si>
  <si>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</si>
  <si>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</si>
  <si>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</si>
  <si>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</si>
  <si>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</si>
  <si>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</si>
  <si>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</si>
  <si>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</si>
  <si>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</si>
  <si>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</si>
  <si>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</si>
  <si>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</si>
  <si>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</si>
  <si>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</si>
  <si>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</si>
  <si>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</si>
  <si>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</si>
  <si>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</si>
  <si>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</si>
  <si>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</si>
  <si>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</si>
  <si>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</si>
  <si>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</si>
  <si>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</si>
  <si>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</si>
  <si>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</si>
  <si>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</si>
  <si>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</si>
  <si>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</si>
  <si>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</si>
  <si>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</si>
  <si>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</si>
  <si>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</si>
  <si>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</si>
  <si>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</si>
  <si>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</si>
  <si>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</si>
  <si>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</si>
  <si>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</si>
  <si>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</si>
  <si>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</si>
  <si>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</si>
  <si>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</si>
  <si>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</si>
  <si>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</si>
  <si>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</si>
  <si>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</si>
  <si>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</si>
  <si>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</si>
  <si>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</si>
  <si>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</si>
  <si>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</si>
  <si>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</si>
  <si>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</si>
  <si>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</si>
  <si>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</si>
  <si>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</si>
  <si>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</si>
  <si>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</si>
  <si>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</si>
  <si>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</si>
  <si>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</si>
  <si>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</si>
  <si>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</si>
  <si>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</si>
  <si>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</si>
  <si>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</si>
  <si>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</si>
  <si>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</si>
  <si>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</si>
  <si>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</si>
  <si>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</si>
  <si>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</si>
  <si>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</si>
  <si>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</si>
  <si>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</si>
  <si>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</si>
  <si>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</si>
  <si>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</si>
  <si>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</si>
  <si>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</si>
  <si>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</si>
  <si>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</si>
  <si>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</si>
  <si>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</si>
  <si>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</si>
  <si>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</si>
  <si>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</si>
  <si>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</si>
  <si>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</si>
  <si>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</si>
  <si>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</si>
  <si>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</si>
  <si>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</si>
  <si>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</si>
  <si>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</si>
  <si>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</si>
  <si>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</si>
  <si>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</si>
  <si>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</si>
  <si>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</si>
  <si>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</si>
  <si>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</si>
  <si>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</si>
  <si>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</si>
  <si>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</si>
  <si>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</si>
  <si>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</si>
  <si>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</si>
  <si>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</si>
  <si>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</si>
  <si>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</si>
  <si>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</si>
  <si>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</si>
  <si>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</si>
  <si>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</si>
  <si>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</si>
  <si>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</si>
  <si>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</si>
  <si>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</si>
  <si>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</si>
  <si>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</si>
  <si>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</si>
  <si>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</si>
  <si>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</si>
  <si>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</si>
  <si>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</si>
  <si>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</si>
  <si>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</si>
  <si>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</si>
  <si>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</si>
  <si>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</si>
  <si>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</si>
  <si>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</si>
  <si>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</si>
  <si>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</si>
  <si>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</si>
  <si>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</si>
  <si>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</si>
  <si>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</si>
  <si>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</si>
  <si>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</si>
  <si>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</si>
  <si>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</si>
  <si>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</si>
  <si>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</si>
  <si>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</si>
  <si>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</si>
  <si>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</si>
  <si>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</si>
  <si>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</si>
  <si>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</si>
  <si>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</si>
  <si>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</si>
  <si>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</si>
  <si>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</si>
  <si>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</si>
  <si>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</si>
  <si>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</si>
  <si>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</si>
  <si>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</si>
  <si>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</si>
  <si>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</si>
  <si>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</si>
  <si>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</si>
  <si>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</si>
  <si>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</si>
  <si>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</si>
  <si>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</si>
  <si>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</si>
  <si>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</si>
  <si>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</si>
  <si>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</si>
  <si>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</si>
  <si>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</si>
  <si>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</si>
  <si>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</si>
  <si>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</si>
  <si>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</si>
  <si>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</si>
  <si>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</si>
  <si>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</si>
  <si>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</si>
  <si>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</si>
  <si>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</si>
  <si>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</si>
  <si>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</si>
  <si>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</si>
  <si>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</si>
  <si>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</si>
  <si>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</si>
  <si>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</si>
  <si>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</si>
  <si>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</si>
  <si>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</si>
  <si>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</si>
  <si>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</si>
  <si>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</si>
  <si>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</si>
  <si>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</si>
  <si>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</si>
  <si>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</si>
  <si>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</si>
  <si>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</si>
  <si>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</si>
  <si>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</si>
  <si>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</si>
  <si>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</si>
  <si>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</si>
  <si>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</si>
  <si>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</si>
  <si>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</si>
  <si>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</si>
  <si>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</si>
  <si>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</si>
  <si>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</si>
  <si>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</si>
  <si>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</si>
  <si>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</si>
  <si>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</si>
  <si>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</si>
  <si>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</si>
  <si>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</si>
  <si>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</si>
  <si>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</si>
  <si>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</si>
  <si>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</si>
  <si>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</si>
  <si>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</si>
  <si>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</si>
  <si>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</si>
  <si>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</si>
  <si>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</si>
  <si>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</si>
  <si>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</si>
  <si>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</si>
  <si>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</si>
  <si>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</si>
  <si>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</si>
  <si>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</si>
  <si>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</si>
  <si>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</si>
  <si>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</si>
  <si>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</si>
  <si>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</si>
  <si>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</si>
  <si>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</si>
  <si>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</si>
  <si>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</si>
  <si>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</si>
  <si>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</si>
  <si>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</si>
  <si>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</si>
  <si>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</si>
  <si>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</si>
  <si>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</si>
  <si>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</si>
  <si>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</si>
  <si>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</si>
  <si>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</si>
  <si>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</si>
  <si>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</si>
  <si>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</si>
  <si>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</si>
  <si>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</si>
  <si>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</si>
  <si>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</si>
  <si>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</si>
  <si>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</si>
  <si>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</si>
  <si>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</si>
  <si>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</si>
  <si>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</si>
  <si>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</si>
  <si>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</si>
  <si>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</si>
  <si>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</si>
  <si>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</si>
  <si>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</si>
  <si>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</si>
  <si>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</si>
  <si>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</si>
  <si>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</si>
  <si>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</si>
  <si>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</si>
  <si>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</si>
  <si>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</si>
  <si>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</si>
  <si>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</si>
  <si>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</si>
  <si>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</si>
  <si>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</si>
  <si>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</si>
  <si>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</si>
  <si>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</si>
  <si>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</si>
  <si>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</si>
  <si>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</si>
  <si>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</si>
  <si>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</si>
  <si>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</si>
  <si>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</si>
  <si>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</si>
  <si>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</si>
  <si>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</si>
  <si>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</si>
  <si>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</si>
  <si>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</si>
  <si>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</si>
  <si>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</si>
  <si>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</si>
  <si>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</si>
  <si>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</si>
  <si>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</si>
  <si>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</si>
  <si>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</si>
  <si>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</si>
  <si>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</si>
  <si>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</si>
  <si>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</si>
  <si>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</si>
  <si>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</si>
  <si>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</si>
  <si>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</si>
  <si>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</si>
  <si>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</si>
  <si>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</si>
  <si>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</si>
  <si>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</si>
  <si>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</si>
  <si>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</si>
  <si>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</si>
  <si>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</si>
  <si>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</si>
  <si>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</si>
  <si>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</si>
  <si>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</si>
  <si>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</si>
  <si>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</si>
  <si>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</si>
  <si>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</si>
  <si>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</si>
  <si>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</si>
  <si>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</si>
  <si>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</si>
  <si>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</si>
  <si>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</si>
  <si>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</si>
  <si>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</si>
  <si>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</si>
  <si>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</si>
  <si>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</si>
  <si>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</si>
  <si>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</si>
  <si>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</si>
  <si>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</si>
  <si>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</si>
  <si>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</si>
  <si>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</si>
  <si>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</si>
  <si>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</si>
  <si>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</si>
  <si>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</si>
  <si>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</si>
  <si>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</si>
  <si>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</si>
  <si>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</si>
  <si>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</si>
  <si>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</si>
  <si>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</si>
  <si>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</si>
  <si>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</si>
  <si>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</si>
  <si>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</si>
  <si>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</si>
  <si>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</si>
  <si>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</si>
  <si>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</si>
  <si>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</si>
  <si>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</si>
  <si>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</si>
  <si>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</si>
  <si>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</si>
  <si>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</si>
  <si>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</si>
  <si>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</si>
  <si>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</si>
  <si>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</si>
  <si>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</si>
  <si>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</si>
  <si>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</si>
  <si>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</si>
  <si>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</si>
  <si>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</si>
  <si>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</si>
  <si>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</si>
  <si>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</si>
  <si>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</si>
  <si>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</si>
  <si>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</si>
  <si>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</si>
  <si>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</si>
  <si>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</si>
  <si>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</si>
  <si>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</si>
  <si>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</si>
  <si>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</si>
  <si>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</si>
  <si>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</si>
  <si>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</si>
  <si>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</si>
  <si>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</si>
  <si>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</si>
  <si>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</si>
  <si>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</si>
  <si>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</si>
  <si>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</si>
  <si>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</si>
  <si>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</si>
  <si>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</si>
  <si>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</si>
  <si>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</si>
  <si>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</si>
  <si>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</si>
  <si>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</si>
  <si>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</si>
  <si>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</si>
  <si>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</si>
  <si>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</si>
  <si>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</si>
  <si>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</si>
  <si>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</si>
  <si>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</si>
  <si>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</si>
  <si>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</si>
  <si>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</si>
  <si>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</si>
  <si>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</si>
  <si>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</si>
  <si>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</si>
  <si>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</si>
  <si>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</si>
  <si>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</si>
  <si>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</si>
  <si>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</si>
  <si>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</si>
  <si>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</si>
  <si>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</si>
  <si>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</si>
  <si>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</si>
  <si>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</si>
  <si>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</si>
  <si>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</si>
  <si>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</si>
  <si>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</si>
  <si>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</si>
  <si>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</si>
  <si>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</si>
  <si>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</si>
  <si>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</si>
  <si>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</si>
  <si>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</si>
  <si>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</si>
  <si>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</si>
  <si>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</si>
  <si>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</si>
  <si>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</si>
  <si>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</si>
  <si>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</si>
  <si>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</si>
  <si>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</si>
  <si>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</si>
  <si>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</si>
  <si>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</si>
  <si>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</si>
  <si>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</si>
  <si>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</si>
  <si>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</si>
  <si>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</si>
  <si>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</si>
  <si>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</si>
  <si>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</si>
  <si>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</si>
  <si>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</si>
  <si>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</si>
  <si>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</si>
  <si>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</si>
  <si>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</si>
  <si>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</si>
  <si>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</si>
  <si>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</si>
  <si>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</si>
  <si>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</si>
  <si>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</si>
  <si>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</si>
  <si>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</si>
  <si>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</si>
  <si>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</si>
  <si>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</si>
  <si>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</si>
  <si>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</si>
  <si>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</si>
  <si>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</si>
  <si>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</si>
  <si>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</si>
  <si>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</si>
  <si>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</si>
  <si>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</si>
  <si>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</si>
  <si>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</si>
  <si>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</si>
  <si>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</si>
  <si>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</si>
  <si>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</si>
  <si>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</si>
  <si>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</si>
  <si>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</si>
  <si>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</si>
  <si>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</si>
  <si>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</si>
  <si>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</si>
  <si>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</si>
  <si>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</si>
  <si>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</si>
  <si>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</si>
  <si>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</si>
  <si>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</si>
  <si>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</si>
  <si>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</si>
  <si>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</si>
  <si>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</si>
  <si>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</si>
  <si>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</si>
  <si>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</si>
  <si>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</si>
  <si>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</si>
  <si>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</si>
  <si>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</si>
  <si>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</si>
  <si>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</si>
  <si>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</si>
  <si>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</si>
  <si>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</si>
  <si>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</si>
  <si>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</si>
  <si>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</si>
  <si>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</si>
  <si>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</si>
  <si>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</si>
  <si>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</si>
  <si>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</si>
  <si>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</si>
  <si>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</si>
  <si>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</si>
  <si>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</si>
  <si>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</si>
  <si>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</si>
  <si>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</si>
  <si>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</si>
  <si>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</si>
  <si>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</si>
  <si>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</si>
  <si>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</si>
  <si>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</si>
  <si>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</si>
  <si>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</si>
  <si>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</si>
  <si>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</si>
  <si>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</si>
  <si>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</si>
  <si>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</si>
  <si>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</si>
  <si>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</si>
  <si>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</si>
  <si>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</si>
  <si>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</si>
  <si>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</si>
  <si>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</si>
  <si>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</si>
  <si>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</si>
  <si>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</si>
  <si>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</si>
  <si>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</si>
  <si>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</si>
  <si>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</si>
  <si>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</si>
  <si>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</si>
  <si>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</si>
  <si>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</si>
  <si>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</si>
  <si>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</si>
  <si>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</si>
  <si>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</si>
  <si>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</si>
  <si>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</si>
  <si>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</si>
  <si>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</si>
  <si>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</si>
  <si>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</si>
  <si>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</si>
  <si>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</si>
  <si>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</si>
  <si>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</si>
  <si>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</si>
  <si>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</si>
  <si>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</si>
  <si>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</si>
  <si>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</si>
  <si>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</si>
  <si>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</si>
  <si>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</si>
  <si>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</si>
  <si>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</si>
  <si>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</si>
  <si>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</si>
  <si>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</si>
  <si>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</si>
  <si>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</si>
  <si>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</si>
  <si>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</si>
  <si>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</si>
  <si>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</si>
  <si>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</si>
  <si>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</si>
  <si>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</si>
  <si>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</si>
  <si>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</si>
  <si>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</si>
  <si>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</si>
  <si>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</si>
  <si>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</si>
  <si>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</si>
  <si>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</si>
  <si>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</si>
  <si>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</si>
  <si>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</si>
  <si>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</si>
  <si>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</si>
  <si>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</si>
  <si>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</si>
  <si>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</si>
  <si>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</si>
  <si>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</si>
  <si>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</si>
  <si>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</si>
  <si>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</si>
  <si>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</si>
  <si>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</si>
  <si>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</si>
  <si>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</si>
  <si>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</si>
  <si>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</si>
  <si>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</si>
  <si>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</si>
  <si>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</si>
  <si>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</si>
  <si>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</si>
  <si>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</si>
  <si>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</si>
  <si>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</si>
  <si>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</si>
  <si>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</si>
  <si>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</si>
  <si>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</si>
  <si>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</si>
  <si>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</si>
  <si>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</si>
  <si>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</si>
  <si>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</si>
  <si>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</si>
  <si>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</si>
  <si>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</si>
  <si>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</si>
  <si>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</si>
  <si>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</si>
  <si>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</si>
  <si>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</si>
  <si>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</si>
  <si>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</si>
  <si>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</si>
  <si>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</si>
  <si>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</si>
  <si>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</si>
  <si>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</si>
  <si>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</si>
  <si>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</si>
  <si>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</si>
  <si>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</si>
  <si>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</si>
  <si>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</si>
  <si>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</si>
  <si>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</si>
  <si>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</si>
  <si>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</si>
  <si>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</si>
  <si>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</si>
  <si>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</si>
  <si>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</si>
  <si>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</si>
  <si>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</si>
  <si>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</si>
  <si>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</si>
  <si>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</si>
  <si>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</si>
  <si>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</si>
  <si>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</si>
  <si>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</si>
  <si>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</si>
  <si>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</si>
  <si>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</si>
  <si>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</si>
  <si>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</si>
  <si>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</si>
  <si>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</si>
  <si>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</si>
  <si>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</si>
  <si>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</si>
  <si>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</si>
  <si>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</si>
  <si>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</si>
  <si>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</si>
  <si>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</si>
  <si>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</si>
  <si>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</si>
  <si>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</si>
  <si>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</si>
  <si>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</si>
  <si>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</si>
  <si>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</si>
  <si>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</si>
  <si>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</si>
  <si>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</si>
  <si>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</si>
  <si>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</si>
  <si>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</si>
  <si>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</si>
  <si>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</si>
  <si>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</si>
  <si>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</si>
  <si>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</si>
  <si>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</si>
  <si>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</si>
  <si>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</si>
  <si>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</si>
  <si>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</si>
  <si>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</si>
  <si>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</si>
  <si>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</si>
  <si>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</si>
  <si>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</si>
  <si>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</si>
  <si>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</si>
  <si>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</si>
  <si>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</si>
  <si>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</si>
  <si>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</si>
  <si>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</si>
  <si>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</si>
  <si>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</si>
  <si>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</si>
  <si>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</si>
  <si>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</si>
  <si>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</si>
  <si>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</si>
  <si>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</si>
  <si>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</si>
  <si>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</si>
  <si>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</si>
  <si>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</si>
  <si>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</si>
  <si>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</si>
  <si>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</si>
  <si>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</si>
  <si>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</si>
  <si>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</si>
  <si>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</si>
  <si>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</si>
  <si>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</si>
  <si>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</si>
  <si>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</si>
  <si>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</si>
  <si>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</si>
  <si>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</si>
  <si>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</si>
  <si>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</si>
  <si>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</si>
  <si>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</si>
  <si>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</si>
  <si>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</si>
  <si>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</si>
  <si>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</si>
  <si>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</si>
  <si>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</si>
  <si>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</si>
  <si>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</si>
  <si>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 xml:space="preserve">Nick Bouquet </t>
  </si>
  <si>
    <t xml:space="preserve">Development Associate </t>
  </si>
  <si>
    <t xml:space="preserve">261 Gorham Road </t>
  </si>
  <si>
    <t>South Portland</t>
  </si>
  <si>
    <t>nbouquet@evergreenpartnershousing.com</t>
  </si>
  <si>
    <t xml:space="preserve">Briarcliff Summit Apartments </t>
  </si>
  <si>
    <t>No</t>
  </si>
  <si>
    <t>Yes</t>
  </si>
  <si>
    <t>1050 Ponce de Leon Avenue NE</t>
  </si>
  <si>
    <t>City of Atlanta (www.atlantaga.gov)</t>
  </si>
  <si>
    <t xml:space="preserve">Kasim Read </t>
  </si>
  <si>
    <t>Mayor</t>
  </si>
  <si>
    <t xml:space="preserve">55 Trinity Avenue </t>
  </si>
  <si>
    <t xml:space="preserve">Atlanta </t>
  </si>
  <si>
    <t>Senior (Elderly)</t>
  </si>
  <si>
    <t>65-1548793</t>
  </si>
  <si>
    <t>GA-94-09101</t>
  </si>
  <si>
    <t>The Seven Fifty Limited Partnership</t>
  </si>
  <si>
    <t>Brian M. Poulin</t>
  </si>
  <si>
    <t>Principal/Member</t>
  </si>
  <si>
    <t>bpoulin@evergreenpartnershousing.com</t>
  </si>
  <si>
    <t xml:space="preserve">Majestic Manor LLC </t>
  </si>
  <si>
    <t xml:space="preserve">South Portland </t>
  </si>
  <si>
    <t>Wells Fargo Community Lending and Investment (Proposed Limited Partner)</t>
  </si>
  <si>
    <t>J. Frederick (Rick) Davis</t>
  </si>
  <si>
    <t>301 South College Street</t>
  </si>
  <si>
    <t>Managing Director</t>
  </si>
  <si>
    <t>Charlotte</t>
  </si>
  <si>
    <t>rick.davis@wachovia.com</t>
  </si>
  <si>
    <t>Well Fargo Community Lending and Investment (Proposed Limited Partner)</t>
  </si>
  <si>
    <t xml:space="preserve">Evergreen Partners II LLC </t>
  </si>
  <si>
    <t>707 Sable Oaks Drive</t>
  </si>
  <si>
    <t xml:space="preserve">The Whiting-Turner Contracting Company </t>
  </si>
  <si>
    <t>300 E. Joppa Road</t>
  </si>
  <si>
    <t>Project Manager</t>
  </si>
  <si>
    <t>Carlos Cisneros</t>
  </si>
  <si>
    <t xml:space="preserve">Baltimore </t>
  </si>
  <si>
    <t>carlos.cisneros@whiting-turner.com</t>
  </si>
  <si>
    <t>Preservation Management, Inc.</t>
  </si>
  <si>
    <t>Arnall Golden Gregory LLP</t>
  </si>
  <si>
    <t>171 17th Street NW</t>
  </si>
  <si>
    <t>Partner</t>
  </si>
  <si>
    <t>Jeff Adams</t>
  </si>
  <si>
    <t>jeffrey.adams@agg.com</t>
  </si>
  <si>
    <t>Otis Atwell</t>
  </si>
  <si>
    <t xml:space="preserve">324 Gannett Drive </t>
  </si>
  <si>
    <t>Steve Atwell</t>
  </si>
  <si>
    <t>satwell@otisatwell.com</t>
  </si>
  <si>
    <t>The Architectural Team, Inc.</t>
  </si>
  <si>
    <t>Mike Binette</t>
  </si>
  <si>
    <t>50 Commandant's Way</t>
  </si>
  <si>
    <t>Vice President - Principal</t>
  </si>
  <si>
    <t>Chelsea</t>
  </si>
  <si>
    <t>mbinette@architecturalteam.com</t>
  </si>
  <si>
    <t>For Profit</t>
  </si>
  <si>
    <t>(Same as Federal LP)</t>
  </si>
  <si>
    <t>Atlanta Housing Opportunity Bond Program</t>
  </si>
  <si>
    <t xml:space="preserve">Grandbridge Real Estate Capital LLC </t>
  </si>
  <si>
    <t>HUD Insured Loan</t>
  </si>
  <si>
    <t xml:space="preserve">Loan </t>
  </si>
  <si>
    <t xml:space="preserve">Atlanta Development Authority </t>
  </si>
  <si>
    <t>Wells Fargo</t>
  </si>
  <si>
    <t>Environmental Testing During Renovations</t>
  </si>
  <si>
    <t>Capital Needs Assessment</t>
  </si>
  <si>
    <t xml:space="preserve">Travel Expenses </t>
  </si>
  <si>
    <t xml:space="preserve">Pre-paid Tax and Insurance Reserve </t>
  </si>
  <si>
    <t xml:space="preserve">Historic Rehab Consultant </t>
  </si>
  <si>
    <t>City of Atlanta Loan Repayment</t>
  </si>
  <si>
    <t>Atlanta Housing Authority</t>
  </si>
  <si>
    <t>MF</t>
  </si>
  <si>
    <t>HUD</t>
  </si>
  <si>
    <t>3+ Story</t>
  </si>
  <si>
    <t>Acquisition/Rehab</t>
  </si>
  <si>
    <t>Common</t>
  </si>
  <si>
    <t>N/A-CS</t>
  </si>
  <si>
    <t>State Boost</t>
  </si>
  <si>
    <t>Tax Credit Allocation Max of $950,000 has been waived</t>
  </si>
  <si>
    <t>Lender Plan Review &amp; Property Inspection</t>
  </si>
  <si>
    <t>Miscellaneous Admin</t>
  </si>
  <si>
    <t>Misc. Taxes</t>
  </si>
  <si>
    <t>ADA HOB Asset Mgmt Fee</t>
  </si>
  <si>
    <t xml:space="preserve">Payroll Taxes </t>
  </si>
  <si>
    <t>Federal &amp; State Historic Tax Credit Equity</t>
  </si>
  <si>
    <t xml:space="preserve">The new first mortgage has been underwritten and sized based on the parameters of the HUD 221 (d)(4) loan program.  The (d)(4) program allows for the new debt to be underwritten to the lesser of the existing Section 8 Contract rents and the market rents determined by the market study.  The proposed Section 8 rents shown on the 'Revenues-Expenses' tab are supported by the DCA Market Study as well as the HUD Market Study.  We anticipate these are rents the project will receive from HUD post renovation but we are unable to underwrite our new debt to these rents since they have not yet been approved by HUD.  Consequently, the additional revenue generated by the propsoed Section 8 contract rents creates a debt service coverage ratio that is greater than 1.40 in Year 1.  We do not feel we have oversubsidized the property since we have sized the new first mortgage within the parameters of the HUD 221(d)(4) loan program.  Additionally, we believe that sizing the debt in the manner we have will maximize the proejct's chances for successful operations in both the near and long term. </t>
  </si>
  <si>
    <t>The property is currently serving an elderly (62+ Years) and disabled population.  We will not be changing the tenancy characteristics as part of our plan to preserve the property.  The fully renovated property will continue to serve elderly (62+) and disabled residents.</t>
  </si>
  <si>
    <t>Agree</t>
  </si>
  <si>
    <t>Brad Moore, The Gill Group</t>
  </si>
  <si>
    <t xml:space="preserve">12 months </t>
  </si>
  <si>
    <t>2009-027</t>
  </si>
  <si>
    <t xml:space="preserve">Columbia Townhomes </t>
  </si>
  <si>
    <t>Columbia Townhomes at Edgewood is a 100-unit unsubsidized elderly elderly (62+) property with 40 units set at 50% of AMI and 60 unit set at 60% of AMI.  The property is made up a mix of 1 and 2 bedroom apartments and is located at 1281 Caroline Stree NE, Atlanta, GA.</t>
  </si>
  <si>
    <t>There is no identity of interest between the Buyer and Seller.  An appraisal was not included in the application submission.</t>
  </si>
  <si>
    <t>Teri Hovanec, The LJM Group</t>
  </si>
  <si>
    <t>The 72 db noise level is an exterior noise reading and the primary contributing factor is that Briarcliff is located at the corner of Highland Avenue and Ponce de Leon Avenue, a major throughway intersection.  Interior noise levels are well within acceptable level as documenting in the HUD noise analysis found in the Appendix of the Phase I ESA.</t>
  </si>
  <si>
    <t>Contract/Option</t>
  </si>
  <si>
    <t>Partners II LLC has the right to assign the P&amp;S to an affiliated entity.  Evergreen Partners II LLC will assign the purchase contract to The Seven Fifty Limited Partnership prior to closing.</t>
  </si>
  <si>
    <t>Briarcliff Summit Apartments is an existing property with direct access to public paved roads (Ponde de Leon Avenue).  Please see Tab 13 for Site Access documentation.</t>
  </si>
  <si>
    <t>City of Atlanta</t>
  </si>
  <si>
    <t xml:space="preserve">Georgia Natural Gas </t>
  </si>
  <si>
    <t xml:space="preserve">Georgia Power </t>
  </si>
  <si>
    <t>Room</t>
  </si>
  <si>
    <t>Gazebo</t>
  </si>
  <si>
    <t>On-site laundry</t>
  </si>
  <si>
    <t>Arts &amp; Craft Center</t>
  </si>
  <si>
    <t>Computer Center</t>
  </si>
  <si>
    <t>Exercise/Fitness Center</t>
  </si>
  <si>
    <t>Historic Preservation</t>
  </si>
  <si>
    <t>Melvin Cauthen, EMG Corp</t>
  </si>
  <si>
    <t>Qualified without Conditions</t>
  </si>
  <si>
    <t>N/A - This project has no non-profit principals.</t>
  </si>
  <si>
    <t>N/A - This project is not applying for a HOME loan and is also not eligible for the CHDO set-aside.</t>
  </si>
  <si>
    <t>Census Tract: 15</t>
  </si>
  <si>
    <t>Non-minority</t>
  </si>
  <si>
    <t>Northgate Village is listed on the Georga Housing search website.</t>
  </si>
  <si>
    <t>None</t>
  </si>
  <si>
    <t>There is a MARTA Bus Stop located adjacent to the property along Ponce De Leon Avenue.  Documentation of the Bus Stop is included under Tab 25.</t>
  </si>
  <si>
    <t>EF Green Communities</t>
  </si>
  <si>
    <t>We will be pursing a certification under Enterprise's 2011 Green Communities Criteria.  We have designed our renovation scope to meet this critera and documentation of our ability to participate in the program is included under Tab 29.</t>
  </si>
  <si>
    <t>Stable Communities &lt; 20%</t>
  </si>
  <si>
    <t>Two</t>
  </si>
  <si>
    <t>Ancillary Income at the project is historically much less than the 2% of Gross Potential Income.  We are anticipating Year 1 Ancillary Income to be $8,061.  The additional ancillary income shown above also adds additional debt service coverage ratio to the project and should be taken into consideration when reviewing the project's pro forma.</t>
  </si>
  <si>
    <t xml:space="preserve">39-A: Superior Project Concept Narrative &amp; Supplemental Materials </t>
  </si>
  <si>
    <t xml:space="preserve">Superior Project Concept Bonus Points </t>
  </si>
  <si>
    <t xml:space="preserve">39-B: Furniture, Fixtures and Equipment Budget </t>
  </si>
  <si>
    <t xml:space="preserve">Part IV - Use of Funds, Development Budget FF&amp;E Line Item </t>
  </si>
  <si>
    <t xml:space="preserve">
Briarcliff Summit Apartments, located at 1050 Ponce De Leon Avenue NE, Atlanta, Georgia, was originally built in 1923 as a hotel.  It was converted into its current use, as affordable elderly housing, in the 1980s.  The property was refinanced with bonds and 4% Tax Credits in 1993 and has now completed its Tax Credit compliance period.  The property has historical significance within the neighborhood and has been listed on the National Register of Historic Places since 1982.  Since its conversion to low-income housing, Briarcliff Summit has served low and very low income elderly (aged 62+) and disabled individuals in a mix of efficiency, one bedroom and two bedroom units.  There are a total of 201-units at the property of which 89 are efficiency units, 86 are one bedroom units and 26 are two bedroom units.  The property has a HUD project-based Section 8 contract that serves 99% of the units, enabling the property to serve the lowest income population.  More than half of the existing residents are disabled.  The disabilities range from physical handicaps to mental health and substance abuse challenges.
</t>
  </si>
  <si>
    <t xml:space="preserve">Evergreen Partners  plans to acquire, renovate and stabilize Briarcliff Summit Apartments. The property currently suffers from substantial deferred maintenance and is need of comprehensive rehabilitation.  The renovation will also improve and stabilize the property’s prominent historic features, making a significant and positive visual impact for the community.  The property is a critical source of deeply affordable housing in an ideal location that would be impossible to replicate if Briarcliff is lost from the affordable inventory.  Given the age and vulnerable nature of the population, without this unique housing resource many of the residents would certainly be at-risk of becoming homeless or forced to live in substandard housing conditions.  </t>
  </si>
  <si>
    <t>Local officials, advocates and community representatives are aware of Briarcliff’s deterioration and of its value as a unique housing resource.  The sustained and vocal support shown by the City, Atlanta Development Authority and the Virginia Highlands Civic Association attest to this.  Most notably, HUD has designated Briarcliff as their “High Priority” property for the 2011 funding round.</t>
  </si>
  <si>
    <t xml:space="preserve">The conversion of Briarcliff to a conventional use at some point in the future is a highly plausible threat.  The existing Section 8 contract can be terminated by the owner at each annual anniversary.  (Please see Regulatory History/Status description included in Tab 39-A)  Several of the principals in the current ownership group had bought into the property only six years ago with the intention of converting the building to condominium use at the end of the (now expired) tax credit compliance period.  The economic crisis of the past few years has certainly dampened that prospect.  However, because of the property’s urgent and mounting physical needs, the current owner needs to achieve a recapitalization through one approach or another.  Evergreen has applied for a Tax Credit allocation in the 2010 Round, but was not successful.  When the results of the 2010 round were announced, the owner proceeded to list the property for sale with a broker, creating significant alarm among the residents and the advocate community.  During the short period of time that the property was listed, there was considerable interest from buyers who would seek to convert the property.  The complexity of such a conversion and the modest tenor of the economic recovery did introduce some uncertainty into this prospect, at least for the short run. Evergreen was narrowly able to convince the owner that making another attempt at Tax Credits is their better alternative.   </t>
  </si>
  <si>
    <t>The renovation plan for Briarcliff Summit is budgeted at approximately $57,000 per unit and will address all major building systems, improving the living conditions for the residents and bringing the building up to today’s modern and energy efficient standards.  The following items will be replaced as part of the renovation: kitchens, bathrooms, flooring, heating and cooling system, lighting, windows and roofing.  Evergreen will participate in Enterprise’s Green Communities Program, and will implement a number of energy efficient and green building measures as part of the renovation.  New project amenities will be added as well, including; a Community Room, Wellness Center, Fitness Center, Computer Lab, Arts &amp; Crafts Room, on-site resident service coordinator and a new security camera system.</t>
  </si>
  <si>
    <t>The total re-development cost will be exceed $27.5MM.  Approximately $7.1MM of this cost will be financed with an FHA insured 221(d)(4) first mortgage loan.  HUD has been extremely supportive of the loan application, and the preservation effort as a whole.  A $1.5MM low-interest second mortgage loan will be obtained from the Atlanta Development Authority through their Housing Opportunity Bond Program.  Nearly $15.1MM in equity will be raised from the sale of Federal and State low-income housing tax credits.  An additional $2.8MM will be raised from the sale of historic tax credits that the property is qualified to receive.  The remaining sources will be funded by project income during construction and a deferred development fee note issued by the developer.</t>
  </si>
  <si>
    <t xml:space="preserve">Eighty-five percent of the apartments will be restricted to tax credit eligible elderly tenants earning a maximum of 60% of area median income, and the balance (15%) will be set-aside to serve elderly individuals earning 50% or less of area median income.  As noted above, the property has an existing project-based Section 8 contact covering 99% of the units.  This contract is currently being renewed for single year terms.  As part of the preservation effort, Evergreen will enter into a new twenty-year contract with HUD, ensuring that long-term deep subsidy affordability remains in place for the residents.  </t>
  </si>
  <si>
    <t>On June 10, 2011 DCA Approved 1 of the 5 architectural waivers request we submitted prior to June 23, 2011.  The remaining 4 architectural waivers remain under review.  Please see the Threshold Determination (Section 13-18) and Tab 4-B for additional information.</t>
  </si>
  <si>
    <t>On March 8, 2011 DCA agreed to waive the $950,000 Tax Credit Allocation Max for the 2011 LIHTC competitive LIHTC round.  A copy of this waiver is included in Tab 4-G.</t>
  </si>
  <si>
    <t xml:space="preserve">261 Gorham Road, c/o Evergreen Partners Housing LLC </t>
  </si>
  <si>
    <t>Section IV - #8 - Project Ownership: Upon closing it is anticipated that a single limited partnership will purchase both the state and federal low income housing and historic tax credits associated with Briarcliff Summit.  It is expected their ownership % in The Seven Fifty Limited Partnership will be 99.99% and that the GP (Majestic Manor LLC) will hold a 0.01% interest and serve as the managing member.</t>
  </si>
  <si>
    <t xml:space="preserve">Our renovation plan includes installing indivdual electric meters for each unit and installing water-source heat pumps to serve as HVAC in the units.  </t>
  </si>
  <si>
    <t>After renovation, tenants will be responsible for paying unit electric costs.  The utility conversion is further detailed in Tab 7.</t>
  </si>
  <si>
    <t>The City of Atlanta Department of Watershed Management provided us with a letter indicating that water service was established at the property in 1960.  This is the only letter they would provide to us after numerous attempts over the past months to secure a stronger letter.  They would not comment on whether or not the utilities they provide are adequately designed to serve the capacity and needs of the property.  We also made numerous attempts to have them delineate between "water" and "sewer" which they would not do. The currrent management reports no issues with the water and sewer system at the property.  We believe the exisitng utilities are properly sized to meet the current demands of the population at Briarcliff Summit.  Given the various water saving measures we will be implementing as part of our renovation plan we believe this will continue to hold true going forward.</t>
  </si>
  <si>
    <t>The project is not subject to the Uniform Relocation Act as the number of affordable units at the property will remain unchanged and none of the residents will be permanently displaced as a result of the renovations we have planned for the property.  All tenants will be relocated within the building itself during renovations to similar available/vacant units as described in the relocation plan.  No resident will be permanently relocated off-site or permanently displaced during renovation.  Consequently, replacement housing was not identified as part of our relocation plan (Tab 22) as it is not required based on how we will conduct the renovation of Briarcliff Summit Apartments.</t>
  </si>
  <si>
    <t>A copy of the Superior Project Concept and Design Narrative and supporting documentation is included under Tab 39-A.</t>
  </si>
  <si>
    <t>Our existing Georgia property, Northgate Village (Columbus), is in compliance with DCA MITAS System Requirements.  We agree to market up to 5% of the units to tenants with Special Needs.</t>
  </si>
  <si>
    <t>We agree to forego the cancellation option for a period of 5 years as indicated in Part I - Section XII-B of the Core Application.</t>
  </si>
  <si>
    <t xml:space="preserve">The property is inarguably unique.  The existing disabled resident base, potentially expiring affordability, and historic significance in an excellent location comprise a distinctly compelling fact pattern.  The need for intervention is urgent as affirmed by the support shown by the City, that Atlanta Development Authority, the Neighborhood Planning Unit, and, perhaps most notably, HUD’s designation of Briarcliff as its High Priority property for the 2011 Funding Round. As discussed below, Briarcliff’s owners have repeatedly considered converting the property to a conventional use.  The property will undergo some sort of dramatic change over the next few years, and that course will almost certainly not involve housing the current residents if Tax Credits are not awarded this year.  9% Tax Credits are the only resource that can facilitate the preservation of Briarcliff as affordable housing.  DCA has an outstanding opportunity to make a tremendous difference for the disabled and elderly residents, and for the neighborhood.  The acute nature of the current problem distinguishes the preservation of Briarcliff from other tax credit transactions.  The ability to serve more than 100 disabled households also meets an overriding DCA policy objective that can almost never be addressed as significantly and cost effectively through the Tax Credit program.   </t>
  </si>
  <si>
    <t xml:space="preserve">The physical building itself is ideal for operating this service enriched property for this resident mix.  Once the redevelopment is complete, the building will have a Health &amp; Wellness Center, Fitness Room, Computer Center, and a large community room with a full kitchen.  These facilities will allow PMI to implement a broad array of programming and create a strong sense of community at the property.  Resident outreach, education and other programming around energy conservation and indoor air quality issues will be an important piece of the culture at the property.  Evergreen and PMI have been early leaders in this area through participation in HUD’s Green Initiative and an array of other sustainability programs.  We have experience in not only creating the required Green O&amp;M and Resident Guide materials, but in developing the practices needed to ensure that these principles take root with staff and property residents.  The renovation plan will also be certified under the Enterprise Green Communities program.
</t>
  </si>
  <si>
    <t xml:space="preserve">BUILDING LOCATION: The same neighborhood features that make the area popular for more affluent renters and homeowners also make Briarcliff a great place to live for low-income elderly and disabled residents.  As the area amenity map included in Tab 18-B &amp; 24, show public transportation, shopping, medical facilities, churches and virtually all other services are easily accessible from the property.  Social service providers and others familiar with the area and with Briarcliff’s residents attest that there are few, if any, comparable housing opportunities for this vulnerable population in the market area.  </t>
  </si>
  <si>
    <t xml:space="preserve">INTRODUCTION: The Briarcliff Summit is an historic building located in a great Atlanta neighborhood and serving 201 elderly and disabled households.  More than half of the existing households are disabled and 99% of the units benefit from Project Based Section 8 subsidy.  Briarcliff is a unique and extremely important affordable housing resource.  The Section 8 contract is currently being renewed annually and can be terminated at each anniversary.  The property completed a fifteen year LIHTC compliance period at the end of 2010 and is no longer subject to a Land Use Restriction Agreement.  While the inherent appeal of the property sustains its occupancy levels, the building is in dire need of rehabilitation.  Its deteriorating condition threatens its ability to continue serving the existing, vulnerable resident population, and is having a de-stabilizing affect on the neighborhood.  Evergreen has the ability to restore and stabilize the physical property, and to implement a management plan that provides secure, affordable independent housing for the current mix of disabled and elderly residents.  The renovation and preservation of this property will have a dramatic positive impact for the building residents and the community at large.  
</t>
  </si>
  <si>
    <t>RESIDENT BASE: Briarcliff Summit currently operates at 96% percent occupancy despite its failing condition.  There is a substantial population of non-elderly disabled residents – approximately 60% of the building.  The disabilities range from physical handicaps to mental health and substance abuse challenges.  Evergreen’s affiliated property management company, Preservation Management, Inc. (PMI), is a national leader in the area of Supportive Services.  PMI provides supportive services to most of the 75 properties it manages.  Evergreen and PMI also own and manage a number of properties that, like Briarcliff, are urban, Section 8 subsidized, and have a predominance of disabled residents.  Management of these properties is intensive.  However, these communities can be highly successful environments for the residents and financially sound investments for the owners.  Starting with a high quality building, implementing strong house rules, and providing support for the residents are all key components for this success.  PMI will employ a full time supportive services coordinator at the property and implement an intensive program - tying residents to the array of services they need.  PMI will also host programs and activities that bolster the skills and improve quality of life for the residents.  Partnerships with local service providers will help to enrich the resources made available to the residents.  (Please see Supportive Service Plan included as part of Tab 39-A.)</t>
  </si>
  <si>
    <t>Briarcliff has remained a strong physical presence at the corner of Ponce de Leon and Highland Avenue for more than 85 years even as the neighborhood around it has continued to grow and change.  The property and community have reached a crossroads where it is clear that if this cultural resource is not preserved it will be at great risk of permanent loss.  The use of Historic Tax Credits in Evergreen’s financing plan both helps to increase of cost effectiveness of DCA’s LIHTC resource, and ensures that the prominent existing features of the neighborhood landmark will be restored and preserved.</t>
  </si>
  <si>
    <t>CONCLUSION:  DCA has a rare opportunity to respond to a unique and urgent need and to make a community changing impact for the residents and the neighborhood by deeming Briarcliff the Superior Concept transaction and making the requested allocation of credits.  The following list of policy objectives that can be achieved, separately and by their breadth in aggregation, illustrate Briarcliff’s distinctive qualification for the Superior Concept designation. 
 Preservation and dramatic improvement of homes for more than 100 disabled households
 Preservation and dramatic improvement of homes for almost 100 elderly households
 Preservation of expiring Tax Credit Regulation
 Preservation of Section 8 Project Based Subsidy
 Preservation and physical stabilization of an Historic Landmark in a vital Atlanta neighborhood
 Affirmation of the intensive interest and support shown by HUD, the City of Atlanta, the Atlanta Development Authority, and the Virginia Highlands Civic Association
 Certification under the Enterprise Green Communities Program, and implementation of Green O&amp;M and Resident outreach through practiced and refined materials and protocols.</t>
  </si>
  <si>
    <t xml:space="preserve">
CURRENT STATUS:  The property is extremely well located at the southern gateway to the Virginia Highlands neighborhood.  The conversion of this property to a conventional use at some point in the future is a highly plausible threat.  (Please see Regulatory History/Status description included as part of Tab 39-A.)  It is telling that several of the principals in the current ownership group had bought into the property only six years ago with the intention of converting the building to condominium use at the end of the tax credit compliance period.  The economic crisis of the past few years has certainly dampened that prospect.  However, because of the property’s urgent and mounting physical needs, the current owner needs to achieve a recapitalization through one approach or another.  When Evergreen did not receive an allocation in the 2010 funding round, the owner proceeded to list the property for sale with a broker, creating significant alarm among the residents and the advocate community.  During the short period of time that the property was listed, there was considerable interest from buyers who would seek to convert the property.  The complexity of such a conversion and the modest tenor of the economic recovery did introduce some uncertainty into this prospect, at least for the short run. Evergreen was narrowly able to convince the owner that making another attempt at Tax Credits is their better alternative.   </t>
  </si>
  <si>
    <t>In Tab 17-B we have included the Site Plan (Briarcliff Summit is an existing property) and a map of the surrounding amenities.  The area amenities are further detailed in Tab 24: Desirable/Undesirable Site Characteristics.</t>
  </si>
  <si>
    <t>Development Budget - Professional Services: Real Estate Attorney:  A breadown of the legal costs associated with this transaction are as follows:                                                                                                                                                                                            A.)  Borrower's General Counsel:  $90,000                                                                                                                                                            B.)  Borrower's Special Counsel:  $50,000                                                                                                                                                              C.)  Borrower's Local Counsel:  $20,000  (The costs for preparation of the legal opinion is carried within this number)</t>
  </si>
  <si>
    <t xml:space="preserve">Miscellaneous Administrative Costs include:                                                                                                                                                                                            A.)  Boston Post Computer Fee: $4,000                                                                                                                                                                         B.)  Annual Staff Training:  $3,500                                                                                                                                                                                           C.)  Office Equipment Maintenance (computer, copy/fax, etc.): $2,750                                                                                                                          D.)   Computer software upgrades:  $1,250                                                                                                         </t>
  </si>
  <si>
    <t>39-C: Management Agent Qualification</t>
  </si>
  <si>
    <t xml:space="preserve">Part </t>
  </si>
  <si>
    <t>Pass</t>
  </si>
  <si>
    <t>On June 21, 2011, Preservation Management Inc ("PMI Inc.), was determined by DCA to be "qualified without conditions".  A copy of the list of approved management agent's is included in Tab 39-C.</t>
  </si>
  <si>
    <t>There are currently no uncured non-compliance issues at any of the properties the project principals are involved with.  Please see Tab 3 for copies of the Project Team's Compliance Workbooks and Tab 38 for copies of the Project Team's Compliance History Summary.  The Project Team has been determined to be "Qualified without Conditions"; however, a Pre-Determination Letter has not yet been received from DCA.  We have included a copy of the Project Team Qualifications posted on DCA's website on June 16th in Tab 19-B.</t>
  </si>
  <si>
    <t>See Tab 3-A for complete owner experience.</t>
  </si>
  <si>
    <t>Section IV - #4 - Identity of Interest Disclosure: The principals of the managing general partner (Majestic Manor LLC), the developer (Evergreen Partners II LLC) and the management company (Preservation Management, Inc.) are the same individuals and they have an ownership interest in each of these entities.</t>
  </si>
  <si>
    <t>Development Budget Project Amenities:  As part of our renovation of Briarcliff Summit we will be adding the following amenities to the property: Wellness Center, Fitness Center, Arts/Crafts Center, Sitting Areas where possible on each floor and a Computer Center.  The location of the these amenities within the building can be found in the project drawings included under Tab 13.  We have included $50,000 in FF/E to outfit the above facilities.  A breakdown of this budget is include under Tab 39-B.</t>
  </si>
  <si>
    <t xml:space="preserve">Development Budget - Construction Loan Fee: Below is a breakdown of the various fees which we have included in the line item:                                                                                                                                                                                 HUD 221(d)(4) LOAN FEES:                                                                                                                                                                                                                                      A.) Grandbridge Financing Fees (1.50% of Loan AMT):  $107,172                                                                                                                      B.) Grandbridge Engagement Fee:  $2,500                                                                                                                                                                C.) Grandbridge Lender Fee:  $10,000                                                                                                                                                                     D.) MIP: (90 bps of Loan AMT):  $64,303                                                                                                                                                                                                         E.) Ginnie Mae Placement Fee:  $1,700                                                                                                                                                                    F.) FHA HUD Inspection Fee:  $58,038                                                                                                                                                                                                  G.) FHA Application Fee (30 bps of Loan AMT):  $21,434                                                                                                                                                                                                                                                                                                                                                         ATLANTA DEVELOPMENT AUTHORITY - HOUSING OPPORTUNITY BOND PROGRAM FEES:                                                                 A.) Application Fee:  $1,500                                                                                                                                                                                                                          B.) Commitment Fee: $1,500                                                                                                                                                                                      C.) Initial Asset Management Fee: $4,000                                                                                                                                                           OTHER:                                                                                                                                                                                                                                 A.) Georgia Intangible Mortgage Tax (30 bps of Loan AMT):  $21,434                                                                                                            NOTE:  Permanent Financing Fees do not apply to the project as a result of our utilization of the HUD 221(d)(4) Loan program.  All project financing fees will be paid during the construction period.                                                                                                                                                                                                                                                                                                                                                    </t>
  </si>
  <si>
    <t>Out Total Development Cost equals $27,666,470 which exceeds the DCA project maximum of $27,201,391.  Briarcliff is an existing property and has been listed on the national historic register since 1982.  The property suffers from significant deferred maintenance and is in desperate need of substantial renovation in order to bring it up to current housing standards and to create modern and safe housing for its residents.  The signficant renovation needs resulted in a renovation budget of $57,500 per unit.  The additional project costs will be funded through non-DCA resources such as the Atlanta Housing Authority Loan and the Historic Tax Credit Equity.  Given the extrodinary renovation needs of the property, coupled with the additional project costs associated with a historic project,  the total development cost listed above is what we believe is required in order to make the transaction feasible and to ensure we are able to deliver a high quality, modernized property, to the market place that will be able to serve the needs of low-income elderly and disabled individuals for many years to come.  Additional information about the signficant need of the property and its importance to the community is detailed in the Superior Project Concept Narrative found under Tab 39-B.</t>
  </si>
  <si>
    <t xml:space="preserve">An estimate of the Real Estate Taxes and an Insurance Quote are included under Tab 8-A.  </t>
  </si>
  <si>
    <t>Our renovation plan for the property includes hiring a full-time resident service coordinator to work on-site with the residents of Briarcliff.  Preservation Management, Inc.</t>
  </si>
  <si>
    <t>(the proposed management agent) has substantial experience designing and successfully implementing resident service programs at our other properties.  The supportive service plan we intend to implement is included in Tab 39-A with the Superior Project Concept Narrative Supporting documentation.</t>
  </si>
  <si>
    <t>The project absorption and stabilization rate assume the project is vacant.  The property is currently 96% occupied and we will not be permanently displacing any residents during renovations.  We do not anticipate the actual absorption and stablizing rate to be 12 months, and given the fact the property has large waitlist, and high demand for section 8 subsidized units, we believe the project will be fully occupied and stablized shortly after renovations are complete.  Additionally, given that Briarcliff is an existing property with a high occpancy rate, we do not believe the renovation of the property will negatively impact occupancy levels of other tax credit and/or affordable properties within the market area.</t>
  </si>
  <si>
    <t>Evergreen Partners II LLC is an affiliate of proposed ownership entity The Seven Fifty Limited Partnership.  Per Section 11.3 of the Purchase and Sale Contract included in Tab 12-A, Evergreen</t>
  </si>
  <si>
    <t>The City of Atlanta provided a zoning classifcation confirmation letter for Briarcliff Summit Apartments, along with the supporting City Zoning Ordinance documentation.  As noted on the</t>
  </si>
  <si>
    <t>Site Development Plan, Briarcliff is legally non-conforming since the site was developed prior to existance of the current zoning ordinances.  Our renovation plan for the property will not changes the building's footprint or number of units, and will continue to be legally non-conforming post renovation.  The letter provided by the City of Atlanta is a standard format letter and they would not comment on whether or not the renovation of Briarlciff Summit would include the development of prime or unique farm land, as required by the QAP.  Given that it is an existing property located in an urban setting surrounded by single family, multi-family and commercial uses we do not believe this designation is applicable to our plan to acquire and preserve Briarcliff Summit Apartments.</t>
  </si>
  <si>
    <t>We initially presented our plan for Briarcliff Summit to the local neighborhood group, Virginia Highland Civic Association, in 2010 and again on June 13, 2011.  A copy of the meeting minutes documenting our attendance and their notification, as well as letter of support, is included under Tab 16-A.  Additionally, the City of Atlanta adopted a resolution of support for the project in June 06, 2011.  The resolution of support was signed by the Mayor on June 13th, 2011.  A copy of the resolution of support and associated meeting minutes are also included under Tab 16-B.</t>
  </si>
  <si>
    <t>Item 3: The Fair Housing Amendments Act of 1988 does not apply as the property was built for first occupancy prior to March 13, 1991.  We have designed the scope</t>
  </si>
  <si>
    <t xml:space="preserve">of work to make the property as accessible and adaptable as possible given its existing conditions and cost constraints.  We are open to working with DCA to examine additional accessibility/adaptability options for the property.  We are current committing to 7% of the units as fully accessibily and an additional 2% adapted for individuals with hearing and vision impairments.  </t>
  </si>
  <si>
    <t xml:space="preserve">Additionally, as documented in Tab 29 - Sustainable Building Certification, we are planning to pursue a certification under Enterprise's 2011 Green Communities Program.  We have included the program checklist in our application which outlines how our renovation plan for Briarcliff Summit will meet the requirements of the program. </t>
  </si>
  <si>
    <t xml:space="preserve">4 of our 5 architectural waivers are still under review by DCA.  The approved waiver and communications on this matter are included in Tab 4-B.  We are planning $57,500 in renovations per unit at the property and believe we have designed a renovation plan that will yield a high quality property designed for long term operation as superior affordable housing.  We are open to suggestions from DCA on how we could modify the scope of work to improve our existing plan and create the best possible environment for the residents, as is feasible within our current development budget. </t>
  </si>
  <si>
    <t>No Uniform Release was included in the Compliance Workbook.  We will complete a Uniform Release if one is provided or required by DCA for the project team.  We have completed and submitted the Multi-State Release Form for each of the states where we have LIHTC properties.  It is our understanding that all of the required Multi-State Releases have been submitted to DCA for review.</t>
  </si>
  <si>
    <t>23-C: The property is currently operating under a HAP contract which is included in Tab 2-F as part of the Preservation Set-Aside documentation.</t>
  </si>
  <si>
    <t xml:space="preserve">31 units at the property will be designated to serve individuals earning 50% or less of AMI and the remaining 169 units will be at 60% of AMI.  The property is also covered by a project-based Section 8 HAP contract, which covers 99% of the units.  Currently, 100% of the residents qualify and utilize the Section 8 HAP subsidy.  Given the elderly (62+) and disabled population at the property, most of who are living on a fixed-income, we expect that 100% of the population will continue to meet Tax Credit and Section 8 eligibility criteria.  Please see Part VI Section I Rent Schedule for documentation of which units will be designated to serve 50% and 60% residents.  </t>
  </si>
  <si>
    <t>The site is very well located within the community and there are many desirable amenities and services within walking distance of the property.  The property is located at the corner of Ponce de Leon Avenue and Highland Avenue in Atlanta.  This is a busy intersection and a major throughway to the City of Atlanta and the Virginia Highland Neighborhood.  The loss of 1 point for "Undesirable Site" is due to the fact the property has an exterior noise level of 72db, resulting  from its close proximity to the roadway.  The desirable/undesirable documentation is located under Tab 24 - Site Characteristics.</t>
  </si>
  <si>
    <t>Briarcliff Summit Apartments meets the Stable Communities Criteria indicated in item #2 above.  FFIEC Census Tract documentation is included under Tab 30.  The property is not part of any Community Development/Revitalization Plan or Strategy.</t>
  </si>
  <si>
    <t xml:space="preserve">Briarcliff Summit Apartments meets the Preservation Criteria under the Expiring Tax Credit Properties scoring.  Please note, the proposed rent increase exceeds 10% of the existing rents.  This will not negatively impact the residents due the project-based Section 8 HAP contract that is currently in place.  Post renovation, residents will continue to pay only 30% of their adjusted annual income toward rent.  The residents will not be burdened by our proposed Section 8 contract rents.  Additionally, due to the dire need of preservation for Briarcliff Summit Apartments, HUD has designated the property as its High Priority Project for 2011.  A copy of the HUD High Priority Letter is included under Tab 34-C.  Documentation for the Preservation of Affordable Housing Scoring is included under Tab 34 A-C. </t>
  </si>
  <si>
    <t>Documentation of LIHTC experience is include under Tab 35.  The two LIHTC project we are submitting for experience are: 1.) Hudson Terrace Apartments (New York) Project#: SHARS ID 20096054 and 2.) Sharp Leadenhall Apartments (Maryland), Project #: MD 05-18.</t>
  </si>
  <si>
    <t>A preliminary commitment letter from the Atlanta Development Authority for a $1,500,000 award of Housing Opportunity Bonds is included under Tab 5-A.</t>
  </si>
  <si>
    <t>p</t>
  </si>
  <si>
    <t xml:space="preserve">We plan to implement as many energy saving and water conversation improvements as we believe are possible for the site given its existing conditions and cost contraints associated with some energy efficiency improvements.  Some of the major improvements we are planning include: new windows, removal of the through wall A/C units, new high efficiency HVAC system, energystar applicances and fixtures and low-flow water fixtures and toliets.  We are open to discussing with DCA any suggestions about additional energy and water saving measures that could be implemented at the property to enchance what we are already planning. </t>
  </si>
  <si>
    <t xml:space="preserve">We are currently planning for 7% of the units at the property to modified for mobility and an additional 2% to be modified for individuals with hearing and site impairments.  A waiver request for a 100% of the units to not be adaptable and accessible is currently under review by DCA.  We are open to working with DCA to maximize accessibility where possible at the property within the constraints of its existing conditions and costs associated with modifying units to meet accessible/adaptable requirements.  </t>
  </si>
  <si>
    <t>2011-015</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</si>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</sst>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0" fontId="10" fillId="5" borderId="3" xfId="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1" fillId="5" borderId="3" xfId="0" applyFont="1"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7" xfId="0" applyFont="1"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31" xfId="0" applyFont="1" applyFill="1" applyBorder="1" applyAlignment="1" applyProtection="1">
      <alignment horizontal="left" vertical="center"/>
    </xf>
    <xf numFmtId="0" fontId="54" fillId="5" borderId="22" xfId="0" applyFont="1" applyFill="1" applyBorder="1" applyAlignment="1" applyProtection="1">
      <alignment horizontal="left" vertical="center"/>
    </xf>
    <xf numFmtId="0" fontId="54" fillId="5" borderId="8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32" xfId="0" applyFont="1" applyFill="1" applyBorder="1" applyAlignment="1" applyProtection="1">
      <alignment horizontal="left" vertical="center"/>
    </xf>
    <xf numFmtId="0" fontId="54" fillId="5" borderId="34" xfId="0" applyFont="1" applyFill="1" applyBorder="1" applyAlignment="1" applyProtection="1">
      <alignment horizontal="left" vertical="center"/>
    </xf>
    <xf numFmtId="0" fontId="54" fillId="5" borderId="62" xfId="0" applyFont="1" applyFill="1" applyBorder="1" applyAlignment="1" applyProtection="1">
      <alignment horizontal="left" vertical="center"/>
    </xf>
    <xf numFmtId="0" fontId="54" fillId="5" borderId="86" xfId="0" applyFont="1" applyFill="1" applyBorder="1" applyAlignment="1" applyProtection="1">
      <alignment horizontal="left" vertical="center"/>
    </xf>
    <xf numFmtId="0" fontId="54" fillId="5" borderId="87" xfId="0" applyFont="1" applyFill="1" applyBorder="1" applyAlignment="1" applyProtection="1">
      <alignment horizontal="left" vertical="center"/>
    </xf>
    <xf numFmtId="0" fontId="54" fillId="5" borderId="35"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workbookViewId="0">
      <selection activeCell="D24" sqref="D24"/>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2011-015, Briarcliff Summit Apartments , Fulton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3826</v>
      </c>
      <c r="B3" s="752"/>
      <c r="C3" s="752"/>
      <c r="D3" s="752"/>
      <c r="E3" s="752"/>
      <c r="F3" s="752"/>
      <c r="G3" s="752"/>
    </row>
    <row r="4" spans="1:9" s="42" customFormat="1" ht="8.25" customHeight="1">
      <c r="A4" s="98"/>
      <c r="B4" s="761" t="s">
        <v>1337</v>
      </c>
      <c r="C4" s="762"/>
      <c r="D4" s="762"/>
      <c r="E4" s="762" t="s">
        <v>3892</v>
      </c>
      <c r="F4" s="767"/>
      <c r="G4" s="99" t="s">
        <v>780</v>
      </c>
    </row>
    <row r="5" spans="1:9" s="42" customFormat="1" ht="8.25" customHeight="1">
      <c r="A5" s="100" t="s">
        <v>782</v>
      </c>
      <c r="B5" s="763"/>
      <c r="C5" s="764"/>
      <c r="D5" s="764"/>
      <c r="E5" s="764"/>
      <c r="F5" s="768"/>
      <c r="G5" s="101" t="s">
        <v>783</v>
      </c>
    </row>
    <row r="6" spans="1:9" s="42" customFormat="1" ht="8.25" customHeight="1">
      <c r="A6" s="102" t="s">
        <v>784</v>
      </c>
      <c r="B6" s="765"/>
      <c r="C6" s="766"/>
      <c r="D6" s="766"/>
      <c r="E6" s="766"/>
      <c r="F6" s="769"/>
      <c r="G6" s="103" t="s">
        <v>785</v>
      </c>
    </row>
    <row r="7" spans="1:9" s="42" customFormat="1" ht="3" customHeight="1">
      <c r="A7" s="100"/>
      <c r="B7" s="394"/>
      <c r="C7" s="394"/>
      <c r="D7" s="394"/>
      <c r="E7" s="306"/>
      <c r="F7" s="710"/>
      <c r="G7" s="311"/>
    </row>
    <row r="8" spans="1:9" s="42" customFormat="1" ht="12.6" customHeight="1" thickBot="1">
      <c r="A8" s="104"/>
      <c r="B8" s="711"/>
      <c r="C8" s="391"/>
      <c r="D8" s="391"/>
      <c r="E8" s="711" t="s">
        <v>1074</v>
      </c>
      <c r="F8" s="391"/>
      <c r="G8" s="1084" t="s">
        <v>3926</v>
      </c>
      <c r="I8" s="1085"/>
    </row>
    <row r="9" spans="1:9" s="42" customFormat="1" ht="12.6" customHeight="1" thickBot="1">
      <c r="A9" s="100"/>
      <c r="B9" s="404" t="s">
        <v>1421</v>
      </c>
      <c r="C9" s="404"/>
      <c r="D9" s="405"/>
      <c r="E9" s="306"/>
      <c r="F9" s="710"/>
      <c r="G9" s="710"/>
    </row>
    <row r="10" spans="1:9" s="42" customFormat="1" ht="12" customHeight="1">
      <c r="A10" s="387">
        <v>1</v>
      </c>
      <c r="B10" s="406" t="s">
        <v>2136</v>
      </c>
      <c r="C10" s="241"/>
      <c r="D10" s="392"/>
      <c r="E10" s="392" t="s">
        <v>2307</v>
      </c>
      <c r="F10" s="392"/>
      <c r="G10" s="1084" t="s">
        <v>3926</v>
      </c>
    </row>
    <row r="11" spans="1:9" s="42" customFormat="1" ht="12" customHeight="1">
      <c r="A11" s="104"/>
      <c r="B11" s="392"/>
      <c r="C11" s="392"/>
      <c r="D11" s="392"/>
      <c r="E11" s="392" t="s">
        <v>2137</v>
      </c>
      <c r="F11" s="392"/>
      <c r="G11" s="1084" t="s">
        <v>2252</v>
      </c>
    </row>
    <row r="12" spans="1:9" s="42" customFormat="1" ht="12" customHeight="1">
      <c r="A12" s="104"/>
      <c r="B12" s="392"/>
      <c r="C12" s="418"/>
      <c r="D12" s="1086"/>
      <c r="E12" s="392" t="s">
        <v>803</v>
      </c>
      <c r="F12" s="391"/>
      <c r="G12" s="1084" t="s">
        <v>3926</v>
      </c>
    </row>
    <row r="13" spans="1:9" s="42" customFormat="1" ht="12" customHeight="1">
      <c r="A13" s="104"/>
      <c r="B13" s="392"/>
      <c r="C13" s="392"/>
      <c r="D13" s="392"/>
      <c r="E13" s="393" t="s">
        <v>638</v>
      </c>
      <c r="F13" s="392"/>
      <c r="G13" s="1084" t="s">
        <v>2252</v>
      </c>
    </row>
    <row r="14" spans="1:9" s="42" customFormat="1" ht="12" customHeight="1">
      <c r="A14" s="104"/>
      <c r="B14" s="392"/>
      <c r="C14" s="392"/>
      <c r="D14" s="392"/>
      <c r="E14" s="393" t="s">
        <v>2138</v>
      </c>
      <c r="F14" s="392"/>
      <c r="G14" s="1084" t="s">
        <v>2252</v>
      </c>
    </row>
    <row r="15" spans="1:9" s="42" customFormat="1" ht="12" customHeight="1">
      <c r="A15" s="104"/>
      <c r="B15" s="392"/>
      <c r="C15" s="392"/>
      <c r="D15" s="392"/>
      <c r="E15" s="393" t="s">
        <v>804</v>
      </c>
      <c r="F15" s="392"/>
      <c r="G15" s="1084" t="s">
        <v>3926</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3766</v>
      </c>
      <c r="F17" s="392"/>
      <c r="G17" s="1084" t="s">
        <v>3926</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2252</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2252</v>
      </c>
    </row>
    <row r="22" spans="1:7" s="42" customFormat="1" ht="12" customHeight="1">
      <c r="A22" s="100"/>
      <c r="B22" s="394"/>
      <c r="C22" s="394"/>
      <c r="D22" s="394"/>
      <c r="E22" s="753" t="s">
        <v>150</v>
      </c>
      <c r="F22" s="754"/>
      <c r="G22" s="1084" t="s">
        <v>2252</v>
      </c>
    </row>
    <row r="23" spans="1:7" s="42" customFormat="1" ht="12" customHeight="1">
      <c r="A23" s="100"/>
      <c r="B23" s="394"/>
      <c r="C23" s="394"/>
      <c r="D23" s="394"/>
      <c r="E23" s="396" t="s">
        <v>509</v>
      </c>
      <c r="F23" s="395"/>
      <c r="G23" s="1084" t="s">
        <v>2252</v>
      </c>
    </row>
    <row r="24" spans="1:7" s="42" customFormat="1" ht="12" customHeight="1">
      <c r="A24" s="100"/>
      <c r="B24" s="394"/>
      <c r="C24" s="394"/>
      <c r="D24" s="394"/>
      <c r="E24" s="396" t="s">
        <v>510</v>
      </c>
      <c r="F24" s="395"/>
      <c r="G24" s="1084" t="s">
        <v>2252</v>
      </c>
    </row>
    <row r="25" spans="1:7" s="42" customFormat="1" ht="3" customHeight="1">
      <c r="A25" s="104"/>
      <c r="B25" s="241"/>
      <c r="C25" s="392"/>
      <c r="D25" s="392"/>
      <c r="E25" s="1086"/>
      <c r="F25" s="392"/>
      <c r="G25" s="105"/>
    </row>
    <row r="26" spans="1:7" s="42" customFormat="1" ht="12" customHeight="1">
      <c r="A26" s="104"/>
      <c r="B26" s="711"/>
      <c r="C26" s="407" t="s">
        <v>945</v>
      </c>
      <c r="D26" s="392"/>
      <c r="E26" s="392" t="s">
        <v>3767</v>
      </c>
      <c r="F26" s="392"/>
      <c r="G26" s="1084" t="s">
        <v>3926</v>
      </c>
    </row>
    <row r="27" spans="1:7" s="42" customFormat="1" ht="12" customHeight="1">
      <c r="A27" s="104"/>
      <c r="B27" s="392"/>
      <c r="C27" s="392"/>
      <c r="D27" s="392"/>
      <c r="E27" s="1086" t="s">
        <v>3501</v>
      </c>
      <c r="F27" s="392"/>
      <c r="G27" s="1084" t="s">
        <v>3926</v>
      </c>
    </row>
    <row r="28" spans="1:7" s="42" customFormat="1" ht="12" customHeight="1">
      <c r="A28" s="104"/>
      <c r="B28" s="392"/>
      <c r="C28" s="418"/>
      <c r="D28" s="392"/>
      <c r="E28" s="1086" t="s">
        <v>2140</v>
      </c>
      <c r="F28" s="392"/>
      <c r="G28" s="1084" t="s">
        <v>2252</v>
      </c>
    </row>
    <row r="29" spans="1:7" s="42" customFormat="1" ht="12" customHeight="1">
      <c r="A29" s="104"/>
      <c r="B29" s="392"/>
      <c r="C29" s="392"/>
      <c r="D29" s="392"/>
      <c r="E29" s="1086" t="s">
        <v>2141</v>
      </c>
      <c r="F29" s="392"/>
      <c r="G29" s="1084" t="s">
        <v>2252</v>
      </c>
    </row>
    <row r="30" spans="1:7" s="42" customFormat="1" ht="12" customHeight="1">
      <c r="A30" s="104"/>
      <c r="B30" s="392"/>
      <c r="C30" s="392"/>
      <c r="D30" s="392"/>
      <c r="E30" s="1086" t="s">
        <v>2854</v>
      </c>
      <c r="F30" s="392"/>
      <c r="G30" s="1084" t="s">
        <v>3926</v>
      </c>
    </row>
    <row r="31" spans="1:7" s="42" customFormat="1" ht="12" customHeight="1">
      <c r="A31" s="104"/>
      <c r="B31" s="392"/>
      <c r="C31" s="392"/>
      <c r="D31" s="392"/>
      <c r="E31" s="1086" t="s">
        <v>2855</v>
      </c>
      <c r="F31" s="392"/>
      <c r="G31" s="1084" t="s">
        <v>2252</v>
      </c>
    </row>
    <row r="32" spans="1:7" s="42" customFormat="1" ht="12" customHeight="1">
      <c r="A32" s="104"/>
      <c r="B32" s="392"/>
      <c r="C32" s="392"/>
      <c r="D32" s="392"/>
      <c r="E32" s="1086" t="s">
        <v>2856</v>
      </c>
      <c r="F32" s="392"/>
      <c r="G32" s="1084" t="s">
        <v>2252</v>
      </c>
    </row>
    <row r="33" spans="1:7" s="42" customFormat="1" ht="3" customHeight="1">
      <c r="A33" s="104"/>
      <c r="B33" s="392"/>
      <c r="C33" s="392"/>
      <c r="D33" s="392"/>
      <c r="E33" s="1086"/>
      <c r="F33" s="392"/>
      <c r="G33" s="105"/>
    </row>
    <row r="34" spans="1:7" s="42" customFormat="1" ht="12" customHeight="1">
      <c r="A34" s="100"/>
      <c r="B34" s="394"/>
      <c r="C34" s="394" t="s">
        <v>1023</v>
      </c>
      <c r="D34" s="394"/>
      <c r="E34" s="396" t="s">
        <v>3573</v>
      </c>
      <c r="F34" s="395"/>
      <c r="G34" s="1084" t="s">
        <v>2252</v>
      </c>
    </row>
    <row r="35" spans="1:7" s="42" customFormat="1" ht="12" customHeight="1">
      <c r="A35" s="100"/>
      <c r="B35" s="394"/>
      <c r="C35" s="394"/>
      <c r="D35" s="394"/>
      <c r="E35" s="396" t="s">
        <v>3574</v>
      </c>
      <c r="F35" s="395"/>
      <c r="G35" s="1084" t="s">
        <v>2252</v>
      </c>
    </row>
    <row r="36" spans="1:7" s="42" customFormat="1" ht="12" customHeight="1">
      <c r="A36" s="100"/>
      <c r="B36" s="394"/>
      <c r="C36" s="394"/>
      <c r="D36" s="394"/>
      <c r="E36" s="396" t="s">
        <v>184</v>
      </c>
      <c r="F36" s="395"/>
      <c r="G36" s="1084" t="s">
        <v>2252</v>
      </c>
    </row>
    <row r="37" spans="1:7" s="42" customFormat="1" ht="12" customHeight="1">
      <c r="A37" s="100"/>
      <c r="B37" s="394"/>
      <c r="C37" s="394"/>
      <c r="D37" s="394"/>
      <c r="E37" s="396" t="s">
        <v>3575</v>
      </c>
      <c r="F37" s="395"/>
      <c r="G37" s="1084" t="s">
        <v>2252</v>
      </c>
    </row>
    <row r="38" spans="1:7" s="42" customFormat="1" ht="12" customHeight="1">
      <c r="A38" s="104"/>
      <c r="B38" s="241"/>
      <c r="C38" s="392"/>
      <c r="D38" s="392"/>
      <c r="E38" s="396" t="s">
        <v>3498</v>
      </c>
      <c r="F38" s="392"/>
      <c r="G38" s="1084" t="s">
        <v>2252</v>
      </c>
    </row>
    <row r="39" spans="1:7" s="42" customFormat="1" ht="12" customHeight="1">
      <c r="A39" s="104"/>
      <c r="B39" s="241"/>
      <c r="C39" s="392"/>
      <c r="D39" s="392"/>
      <c r="E39" s="396" t="s">
        <v>3908</v>
      </c>
      <c r="F39" s="392"/>
      <c r="G39" s="1084" t="s">
        <v>2252</v>
      </c>
    </row>
    <row r="40" spans="1:7" s="42" customFormat="1" ht="12" customHeight="1">
      <c r="A40" s="100"/>
      <c r="B40" s="394"/>
      <c r="C40" s="394"/>
      <c r="D40" s="394"/>
      <c r="E40" s="396" t="s">
        <v>1904</v>
      </c>
      <c r="F40" s="395"/>
      <c r="G40" s="1084" t="s">
        <v>2252</v>
      </c>
    </row>
    <row r="41" spans="1:7" s="42" customFormat="1" ht="12" customHeight="1">
      <c r="A41" s="100"/>
      <c r="B41" s="394"/>
      <c r="C41" s="394"/>
      <c r="D41" s="394"/>
      <c r="E41" s="396" t="s">
        <v>1903</v>
      </c>
      <c r="F41" s="395"/>
      <c r="G41" s="1084" t="s">
        <v>2252</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1084" t="s">
        <v>3926</v>
      </c>
    </row>
    <row r="44" spans="1:7" s="42" customFormat="1" ht="12" customHeight="1">
      <c r="A44" s="104"/>
      <c r="B44" s="241"/>
      <c r="C44" s="711"/>
      <c r="D44" s="392"/>
      <c r="E44" s="396" t="s">
        <v>3419</v>
      </c>
      <c r="F44" s="392"/>
      <c r="G44" s="1084" t="s">
        <v>2252</v>
      </c>
    </row>
    <row r="45" spans="1:7" s="42" customFormat="1" ht="12" customHeight="1">
      <c r="A45" s="104"/>
      <c r="B45" s="241"/>
      <c r="C45" s="711"/>
      <c r="D45" s="392"/>
      <c r="E45" s="392" t="s">
        <v>3420</v>
      </c>
      <c r="F45" s="392"/>
      <c r="G45" s="1084" t="s">
        <v>2252</v>
      </c>
    </row>
    <row r="46" spans="1:7" s="42" customFormat="1" ht="12" customHeight="1">
      <c r="A46" s="104"/>
      <c r="B46" s="241"/>
      <c r="C46" s="392"/>
      <c r="D46" s="392"/>
      <c r="E46" s="392" t="s">
        <v>3421</v>
      </c>
      <c r="F46" s="392"/>
      <c r="G46" s="1084" t="s">
        <v>2252</v>
      </c>
    </row>
    <row r="47" spans="1:7" s="42" customFormat="1" ht="24.6" customHeight="1">
      <c r="A47" s="104"/>
      <c r="B47" s="241"/>
      <c r="C47" s="392"/>
      <c r="D47" s="392"/>
      <c r="E47" s="755" t="s">
        <v>3857</v>
      </c>
      <c r="F47" s="756"/>
      <c r="G47" s="1084" t="s">
        <v>2252</v>
      </c>
    </row>
    <row r="48" spans="1:7" s="42" customFormat="1" ht="12" customHeight="1">
      <c r="A48" s="104"/>
      <c r="B48" s="241"/>
      <c r="C48" s="392"/>
      <c r="D48" s="392"/>
      <c r="E48" s="392" t="s">
        <v>3482</v>
      </c>
      <c r="F48" s="396"/>
      <c r="G48" s="1084" t="s">
        <v>3926</v>
      </c>
    </row>
    <row r="49" spans="1:7" s="42" customFormat="1" ht="12" customHeight="1">
      <c r="A49" s="104"/>
      <c r="B49" s="241"/>
      <c r="C49" s="392"/>
      <c r="D49" s="392"/>
      <c r="E49" s="396" t="s">
        <v>3422</v>
      </c>
      <c r="F49" s="396"/>
      <c r="G49" s="1084" t="s">
        <v>3926</v>
      </c>
    </row>
    <row r="50" spans="1:7" s="42" customFormat="1" ht="12" customHeight="1">
      <c r="A50" s="107"/>
      <c r="B50" s="241"/>
      <c r="C50" s="392"/>
      <c r="D50" s="392"/>
      <c r="E50" s="750" t="s">
        <v>466</v>
      </c>
      <c r="F50" s="751"/>
      <c r="G50" s="1084" t="s">
        <v>2252</v>
      </c>
    </row>
    <row r="51" spans="1:7" s="42" customFormat="1" ht="12" customHeight="1">
      <c r="A51" s="387">
        <v>4</v>
      </c>
      <c r="B51" s="1087" t="s">
        <v>1021</v>
      </c>
      <c r="C51" s="392"/>
      <c r="D51" s="392"/>
      <c r="E51" s="1086" t="s">
        <v>1410</v>
      </c>
      <c r="F51" s="392"/>
      <c r="G51" s="1084" t="s">
        <v>3926</v>
      </c>
    </row>
    <row r="52" spans="1:7" s="42" customFormat="1" ht="12" customHeight="1">
      <c r="A52" s="387"/>
      <c r="B52" s="1087"/>
      <c r="C52" s="392"/>
      <c r="D52" s="392"/>
      <c r="E52" s="1086" t="s">
        <v>3581</v>
      </c>
      <c r="F52" s="392"/>
      <c r="G52" s="1084" t="s">
        <v>3926</v>
      </c>
    </row>
    <row r="53" spans="1:7" s="42" customFormat="1" ht="12.6" customHeight="1">
      <c r="A53" s="104"/>
      <c r="B53" s="392"/>
      <c r="C53" s="392"/>
      <c r="D53" s="1086"/>
      <c r="E53" s="397" t="s">
        <v>3544</v>
      </c>
      <c r="F53" s="396"/>
      <c r="G53" s="1084" t="s">
        <v>2252</v>
      </c>
    </row>
    <row r="54" spans="1:7" s="42" customFormat="1" ht="12.6" customHeight="1">
      <c r="A54" s="104"/>
      <c r="B54" s="392"/>
      <c r="C54" s="392"/>
      <c r="D54" s="1086"/>
      <c r="E54" s="397" t="s">
        <v>3764</v>
      </c>
      <c r="F54" s="392"/>
      <c r="G54" s="1084" t="s">
        <v>2252</v>
      </c>
    </row>
    <row r="55" spans="1:7" s="42" customFormat="1" ht="12" customHeight="1">
      <c r="A55" s="387"/>
      <c r="B55" s="1087"/>
      <c r="C55" s="392"/>
      <c r="D55" s="392"/>
      <c r="E55" s="1086" t="s">
        <v>2654</v>
      </c>
      <c r="F55" s="392"/>
      <c r="G55" s="1084" t="s">
        <v>2252</v>
      </c>
    </row>
    <row r="56" spans="1:7" s="42" customFormat="1" ht="12" customHeight="1">
      <c r="A56" s="387"/>
      <c r="B56" s="1087"/>
      <c r="C56" s="392"/>
      <c r="D56" s="392"/>
      <c r="E56" s="1086" t="s">
        <v>3502</v>
      </c>
      <c r="F56" s="392"/>
      <c r="G56" s="1084" t="s">
        <v>2252</v>
      </c>
    </row>
    <row r="57" spans="1:7" s="42" customFormat="1" ht="12" customHeight="1">
      <c r="A57" s="387"/>
      <c r="B57" s="1087"/>
      <c r="C57" s="392"/>
      <c r="D57" s="392"/>
      <c r="E57" s="1086" t="s">
        <v>2655</v>
      </c>
      <c r="F57" s="392"/>
      <c r="G57" s="1084" t="s">
        <v>3926</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2688</v>
      </c>
      <c r="F59" s="398"/>
      <c r="G59" s="1084" t="s">
        <v>3926</v>
      </c>
    </row>
    <row r="60" spans="1:7" s="42" customFormat="1" ht="12" customHeight="1">
      <c r="A60" s="387"/>
      <c r="B60" s="406"/>
      <c r="C60" s="392"/>
      <c r="D60" s="392"/>
      <c r="E60" s="398" t="s">
        <v>1840</v>
      </c>
      <c r="F60" s="398"/>
      <c r="G60" s="1084" t="s">
        <v>2252</v>
      </c>
    </row>
    <row r="61" spans="1:7" s="42" customFormat="1" ht="12" customHeight="1">
      <c r="A61" s="387"/>
      <c r="B61" s="406"/>
      <c r="C61" s="392"/>
      <c r="D61" s="392"/>
      <c r="E61" s="398" t="s">
        <v>1841</v>
      </c>
      <c r="F61" s="398"/>
      <c r="G61" s="1084" t="s">
        <v>2252</v>
      </c>
    </row>
    <row r="62" spans="1:7" s="42" customFormat="1" ht="12" customHeight="1">
      <c r="A62" s="387"/>
      <c r="B62" s="406"/>
      <c r="C62" s="392"/>
      <c r="D62" s="392"/>
      <c r="E62" s="398" t="s">
        <v>1842</v>
      </c>
      <c r="F62" s="398"/>
      <c r="G62" s="1084" t="s">
        <v>2252</v>
      </c>
    </row>
    <row r="63" spans="1:7" s="42" customFormat="1" ht="12" customHeight="1">
      <c r="A63" s="387"/>
      <c r="B63" s="406"/>
      <c r="C63" s="392"/>
      <c r="D63" s="392"/>
      <c r="E63" s="398" t="s">
        <v>2735</v>
      </c>
      <c r="F63" s="398"/>
      <c r="G63" s="1084" t="s">
        <v>2252</v>
      </c>
    </row>
    <row r="64" spans="1:7" s="42" customFormat="1" ht="12" customHeight="1">
      <c r="A64" s="104"/>
      <c r="B64" s="392"/>
      <c r="C64" s="392"/>
      <c r="D64" s="392"/>
      <c r="E64" s="1086" t="s">
        <v>1843</v>
      </c>
      <c r="F64" s="398"/>
      <c r="G64" s="1084" t="s">
        <v>2252</v>
      </c>
    </row>
    <row r="65" spans="1:7" s="42" customFormat="1" ht="12" customHeight="1">
      <c r="A65" s="104"/>
      <c r="B65" s="392"/>
      <c r="C65" s="392"/>
      <c r="D65" s="392"/>
      <c r="E65" s="1086" t="s">
        <v>1844</v>
      </c>
      <c r="F65" s="392"/>
      <c r="G65" s="1084" t="s">
        <v>2252</v>
      </c>
    </row>
    <row r="66" spans="1:7" s="42" customFormat="1" ht="12" customHeight="1">
      <c r="A66" s="104"/>
      <c r="B66" s="392"/>
      <c r="C66" s="418"/>
      <c r="D66" s="392"/>
      <c r="E66" s="770" t="s">
        <v>1845</v>
      </c>
      <c r="F66" s="771"/>
      <c r="G66" s="1084" t="s">
        <v>2252</v>
      </c>
    </row>
    <row r="67" spans="1:7" s="42" customFormat="1" ht="12" customHeight="1">
      <c r="A67" s="104"/>
      <c r="B67" s="392"/>
      <c r="C67" s="418"/>
      <c r="D67" s="392"/>
      <c r="E67" s="441" t="s">
        <v>1846</v>
      </c>
      <c r="F67" s="399"/>
      <c r="G67" s="1084" t="s">
        <v>3926</v>
      </c>
    </row>
    <row r="68" spans="1:7" s="42" customFormat="1" ht="12" customHeight="1">
      <c r="A68" s="104"/>
      <c r="B68" s="392"/>
      <c r="C68" s="392"/>
      <c r="D68" s="392"/>
      <c r="E68" s="1086" t="s">
        <v>1900</v>
      </c>
      <c r="F68" s="398"/>
      <c r="G68" s="1084" t="s">
        <v>3925</v>
      </c>
    </row>
    <row r="69" spans="1:7" s="42" customFormat="1" ht="12" customHeight="1">
      <c r="A69" s="104"/>
      <c r="B69" s="392"/>
      <c r="C69" s="392"/>
      <c r="D69" s="392"/>
      <c r="E69" s="1086" t="s">
        <v>1847</v>
      </c>
      <c r="F69" s="398"/>
      <c r="G69" s="1084" t="s">
        <v>2252</v>
      </c>
    </row>
    <row r="70" spans="1:7" s="42" customFormat="1" ht="12" customHeight="1">
      <c r="A70" s="104"/>
      <c r="B70" s="392"/>
      <c r="C70" s="392"/>
      <c r="D70" s="392"/>
      <c r="E70" s="398" t="s">
        <v>1848</v>
      </c>
      <c r="F70" s="398"/>
      <c r="G70" s="1084" t="s">
        <v>2252</v>
      </c>
    </row>
    <row r="71" spans="1:7" s="42" customFormat="1" ht="12" customHeight="1">
      <c r="A71" s="104"/>
      <c r="B71" s="392"/>
      <c r="C71" s="392"/>
      <c r="D71" s="392"/>
      <c r="E71" s="398" t="s">
        <v>320</v>
      </c>
      <c r="F71" s="398"/>
      <c r="G71" s="1084" t="s">
        <v>3926</v>
      </c>
    </row>
    <row r="72" spans="1:7" s="42" customFormat="1" ht="12" customHeight="1">
      <c r="A72" s="104"/>
      <c r="B72" s="392"/>
      <c r="C72" s="392"/>
      <c r="D72" s="392"/>
      <c r="E72" s="398" t="s">
        <v>640</v>
      </c>
      <c r="F72" s="398"/>
      <c r="G72" s="1084" t="s">
        <v>2252</v>
      </c>
    </row>
    <row r="73" spans="1:7" s="42" customFormat="1" ht="12" customHeight="1">
      <c r="A73" s="104"/>
      <c r="B73" s="392"/>
      <c r="C73" s="413"/>
      <c r="D73" s="413"/>
      <c r="E73" s="396" t="s">
        <v>1902</v>
      </c>
      <c r="F73" s="400"/>
      <c r="G73" s="1084" t="s">
        <v>2252</v>
      </c>
    </row>
    <row r="74" spans="1:7" s="42" customFormat="1" ht="12" customHeight="1">
      <c r="A74" s="104"/>
      <c r="B74" s="392"/>
      <c r="C74" s="392"/>
      <c r="D74" s="392"/>
      <c r="E74" s="398" t="s">
        <v>3511</v>
      </c>
      <c r="F74" s="398"/>
      <c r="G74" s="1084" t="s">
        <v>2252</v>
      </c>
    </row>
    <row r="75" spans="1:7" s="42" customFormat="1" ht="6" customHeight="1">
      <c r="A75" s="104"/>
      <c r="B75" s="392"/>
      <c r="C75" s="392"/>
      <c r="D75" s="392"/>
      <c r="E75" s="1086"/>
      <c r="F75" s="398"/>
      <c r="G75" s="147"/>
    </row>
    <row r="76" spans="1:7" s="42" customFormat="1" ht="12" customHeight="1">
      <c r="A76" s="387">
        <v>6</v>
      </c>
      <c r="B76" s="412" t="s">
        <v>1022</v>
      </c>
      <c r="C76" s="241"/>
      <c r="D76" s="392"/>
      <c r="E76" s="392" t="s">
        <v>3503</v>
      </c>
      <c r="F76" s="392"/>
      <c r="G76" s="1084" t="s">
        <v>2252</v>
      </c>
    </row>
    <row r="77" spans="1:7" s="42" customFormat="1" ht="12" customHeight="1">
      <c r="A77" s="104"/>
      <c r="B77" s="392"/>
      <c r="C77" s="413"/>
      <c r="D77" s="413"/>
      <c r="E77" s="396" t="s">
        <v>3858</v>
      </c>
      <c r="F77" s="400"/>
      <c r="G77" s="1084" t="s">
        <v>2252</v>
      </c>
    </row>
    <row r="78" spans="1:7" s="42" customFormat="1" ht="12" customHeight="1">
      <c r="A78" s="104"/>
      <c r="B78" s="392"/>
      <c r="C78" s="413"/>
      <c r="D78" s="413"/>
      <c r="E78" s="396" t="s">
        <v>3859</v>
      </c>
      <c r="F78" s="400"/>
      <c r="G78" s="1084" t="s">
        <v>2252</v>
      </c>
    </row>
    <row r="79" spans="1:7" s="42" customFormat="1" ht="12" customHeight="1">
      <c r="A79" s="104"/>
      <c r="B79" s="392"/>
      <c r="C79" s="392"/>
      <c r="D79" s="392"/>
      <c r="E79" s="392" t="s">
        <v>3860</v>
      </c>
      <c r="F79" s="392"/>
      <c r="G79" s="1084" t="s">
        <v>2252</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1084" t="s">
        <v>3926</v>
      </c>
    </row>
    <row r="82" spans="1:7" s="42" customFormat="1" ht="6" customHeight="1">
      <c r="A82" s="104"/>
      <c r="B82" s="241"/>
      <c r="C82" s="711"/>
      <c r="D82" s="392"/>
      <c r="E82" s="398"/>
      <c r="F82" s="398"/>
      <c r="G82" s="147"/>
    </row>
    <row r="83" spans="1:7" s="42" customFormat="1" ht="12" customHeight="1">
      <c r="A83" s="387">
        <v>8</v>
      </c>
      <c r="B83" s="408" t="s">
        <v>3424</v>
      </c>
      <c r="C83" s="241"/>
      <c r="D83" s="392"/>
      <c r="E83" s="398" t="s">
        <v>1901</v>
      </c>
      <c r="F83" s="398"/>
      <c r="G83" s="1084" t="s">
        <v>3926</v>
      </c>
    </row>
    <row r="84" spans="1:7" s="42" customFormat="1" ht="12" customHeight="1">
      <c r="A84" s="104"/>
      <c r="B84" s="241"/>
      <c r="C84" s="711"/>
      <c r="D84" s="392"/>
      <c r="E84" s="398" t="s">
        <v>3794</v>
      </c>
      <c r="F84" s="398"/>
      <c r="G84" s="1084" t="s">
        <v>2252</v>
      </c>
    </row>
    <row r="85" spans="1:7" s="42" customFormat="1" ht="6" customHeight="1">
      <c r="A85" s="104"/>
      <c r="B85" s="711"/>
      <c r="C85" s="392"/>
      <c r="D85" s="392"/>
      <c r="E85" s="1086"/>
      <c r="F85" s="398"/>
      <c r="G85" s="314"/>
    </row>
    <row r="86" spans="1:7" s="42" customFormat="1" ht="12" customHeight="1">
      <c r="A86" s="387">
        <v>9</v>
      </c>
      <c r="B86" s="406" t="s">
        <v>3701</v>
      </c>
      <c r="C86" s="241"/>
      <c r="D86" s="392"/>
      <c r="E86" s="1086" t="s">
        <v>3879</v>
      </c>
      <c r="F86" s="398"/>
      <c r="G86" s="1084" t="s">
        <v>3926</v>
      </c>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084" t="s">
        <v>2252</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3884</v>
      </c>
      <c r="F90" s="1088"/>
      <c r="G90" s="1084" t="s">
        <v>3926</v>
      </c>
    </row>
    <row r="91" spans="1:7" s="42" customFormat="1" ht="12" customHeight="1">
      <c r="A91" s="107"/>
      <c r="B91" s="392"/>
      <c r="C91" s="391"/>
      <c r="D91" s="1086"/>
      <c r="E91" s="392" t="s">
        <v>305</v>
      </c>
      <c r="F91" s="392"/>
      <c r="G91" s="1084" t="s">
        <v>2252</v>
      </c>
    </row>
    <row r="92" spans="1:7" s="42" customFormat="1" ht="12" customHeight="1">
      <c r="A92" s="387">
        <v>12</v>
      </c>
      <c r="B92" s="406" t="s">
        <v>1599</v>
      </c>
      <c r="C92" s="241"/>
      <c r="D92" s="392"/>
      <c r="E92" s="396" t="s">
        <v>3462</v>
      </c>
      <c r="F92" s="398"/>
      <c r="G92" s="1084" t="s">
        <v>3926</v>
      </c>
    </row>
    <row r="93" spans="1:7" s="42" customFormat="1" ht="12" customHeight="1">
      <c r="A93" s="104"/>
      <c r="B93" s="396"/>
      <c r="C93" s="241"/>
      <c r="D93" s="396"/>
      <c r="E93" s="396" t="s">
        <v>723</v>
      </c>
      <c r="F93" s="402"/>
      <c r="G93" s="1084" t="s">
        <v>3926</v>
      </c>
    </row>
    <row r="94" spans="1:7" s="42" customFormat="1" ht="12" customHeight="1">
      <c r="A94" s="104"/>
      <c r="B94" s="392"/>
      <c r="C94" s="241"/>
      <c r="D94" s="392"/>
      <c r="E94" s="396" t="s">
        <v>3880</v>
      </c>
      <c r="F94" s="398"/>
      <c r="G94" s="1084"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084" t="s">
        <v>3926</v>
      </c>
    </row>
    <row r="97" spans="1:7" s="42" customFormat="1" ht="12" customHeight="1">
      <c r="A97" s="104"/>
      <c r="B97" s="241"/>
      <c r="C97" s="241"/>
      <c r="D97" s="392"/>
      <c r="E97" s="392" t="s">
        <v>3329</v>
      </c>
      <c r="F97" s="392"/>
      <c r="G97" s="1084" t="s">
        <v>2252</v>
      </c>
    </row>
    <row r="98" spans="1:7" s="42" customFormat="1" ht="12" customHeight="1">
      <c r="A98" s="104"/>
      <c r="B98" s="392"/>
      <c r="C98" s="241"/>
      <c r="D98" s="392"/>
      <c r="E98" s="392" t="s">
        <v>3269</v>
      </c>
      <c r="F98" s="392"/>
      <c r="G98" s="1084" t="s">
        <v>2252</v>
      </c>
    </row>
    <row r="99" spans="1:7" s="42" customFormat="1" ht="12" customHeight="1">
      <c r="A99" s="104"/>
      <c r="B99" s="391"/>
      <c r="C99" s="241"/>
      <c r="D99" s="392"/>
      <c r="E99" s="396" t="s">
        <v>3270</v>
      </c>
      <c r="F99" s="402"/>
      <c r="G99" s="1084" t="s">
        <v>2252</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3926</v>
      </c>
    </row>
    <row r="102" spans="1:7" s="42" customFormat="1" ht="12" customHeight="1">
      <c r="A102" s="104"/>
      <c r="B102" s="391"/>
      <c r="C102" s="241"/>
      <c r="D102" s="396"/>
      <c r="E102" s="750" t="s">
        <v>907</v>
      </c>
      <c r="F102" s="751"/>
      <c r="G102" s="1084" t="s">
        <v>3926</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3504</v>
      </c>
      <c r="F104" s="402"/>
      <c r="G104" s="1084" t="s">
        <v>3926</v>
      </c>
    </row>
    <row r="105" spans="1:7" s="42" customFormat="1" ht="12" customHeight="1">
      <c r="A105" s="104"/>
      <c r="B105" s="396"/>
      <c r="C105" s="241"/>
      <c r="D105" s="396"/>
      <c r="E105" s="397" t="s">
        <v>3765</v>
      </c>
      <c r="F105" s="392"/>
      <c r="G105" s="1084" t="s">
        <v>2252</v>
      </c>
    </row>
    <row r="106" spans="1:7" s="42" customFormat="1" ht="12" customHeight="1">
      <c r="A106" s="104"/>
      <c r="B106" s="392"/>
      <c r="C106" s="241"/>
      <c r="D106" s="1086"/>
      <c r="E106" s="392" t="s">
        <v>3505</v>
      </c>
      <c r="F106" s="392"/>
      <c r="G106" s="1084" t="s">
        <v>3926</v>
      </c>
    </row>
    <row r="107" spans="1:7" s="42" customFormat="1" ht="12" customHeight="1">
      <c r="A107" s="104"/>
      <c r="B107" s="391"/>
      <c r="C107" s="241"/>
      <c r="D107" s="392"/>
      <c r="E107" s="392" t="s">
        <v>1650</v>
      </c>
      <c r="F107" s="392"/>
      <c r="G107" s="1084" t="s">
        <v>3926</v>
      </c>
    </row>
    <row r="108" spans="1:7" s="42" customFormat="1" ht="12" customHeight="1">
      <c r="A108" s="104"/>
      <c r="B108" s="392"/>
      <c r="C108" s="241"/>
      <c r="D108" s="392"/>
      <c r="E108" s="396" t="s">
        <v>1651</v>
      </c>
      <c r="F108" s="402"/>
      <c r="G108" s="1084" t="s">
        <v>3926</v>
      </c>
    </row>
    <row r="109" spans="1:7" s="42" customFormat="1" ht="12" customHeight="1">
      <c r="A109" s="104"/>
      <c r="B109" s="396"/>
      <c r="C109" s="241"/>
      <c r="D109" s="396"/>
      <c r="E109" s="396" t="s">
        <v>730</v>
      </c>
      <c r="F109" s="402"/>
      <c r="G109" s="1084" t="s">
        <v>2252</v>
      </c>
    </row>
    <row r="110" spans="1:7" s="42" customFormat="1" ht="12" customHeight="1">
      <c r="A110" s="104"/>
      <c r="B110" s="396"/>
      <c r="C110" s="241"/>
      <c r="D110" s="396"/>
      <c r="E110" s="396" t="s">
        <v>3463</v>
      </c>
      <c r="F110" s="402"/>
      <c r="G110" s="1084" t="s">
        <v>2252</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1908</v>
      </c>
      <c r="F112" s="396"/>
      <c r="G112" s="1084" t="s">
        <v>3926</v>
      </c>
    </row>
    <row r="113" spans="1:7" s="42" customFormat="1" ht="12" customHeight="1">
      <c r="A113" s="104"/>
      <c r="B113" s="772"/>
      <c r="C113" s="773"/>
      <c r="D113" s="773"/>
      <c r="E113" s="396" t="s">
        <v>1909</v>
      </c>
      <c r="F113" s="396"/>
      <c r="G113" s="1084" t="s">
        <v>3926</v>
      </c>
    </row>
    <row r="114" spans="1:7" s="42" customFormat="1" ht="12" customHeight="1">
      <c r="A114" s="104"/>
      <c r="B114" s="772"/>
      <c r="C114" s="773"/>
      <c r="D114" s="773"/>
      <c r="E114" s="396" t="s">
        <v>1912</v>
      </c>
      <c r="F114" s="396"/>
      <c r="G114" s="1084"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3545</v>
      </c>
      <c r="F116" s="398"/>
      <c r="G116" s="1084" t="s">
        <v>3926</v>
      </c>
    </row>
    <row r="117" spans="1:7" s="42" customFormat="1" ht="12" customHeight="1">
      <c r="A117" s="104"/>
      <c r="B117" s="602" t="s">
        <v>3079</v>
      </c>
      <c r="C117" s="241"/>
      <c r="D117" s="1089"/>
      <c r="E117" s="403" t="s">
        <v>3546</v>
      </c>
      <c r="F117" s="398"/>
      <c r="G117" s="1084" t="s">
        <v>3926</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1084" t="s">
        <v>3926</v>
      </c>
    </row>
    <row r="120" spans="1:7" s="42" customFormat="1" ht="12" customHeight="1">
      <c r="A120" s="387"/>
      <c r="B120" s="602" t="s">
        <v>3394</v>
      </c>
      <c r="C120" s="406"/>
      <c r="D120" s="392"/>
      <c r="E120" s="393" t="s">
        <v>2526</v>
      </c>
      <c r="F120" s="392"/>
      <c r="G120" s="1084" t="s">
        <v>3926</v>
      </c>
    </row>
    <row r="121" spans="1:7" s="42" customFormat="1" ht="12" customHeight="1">
      <c r="A121" s="104"/>
      <c r="B121" s="241"/>
      <c r="C121" s="392"/>
      <c r="D121" s="392"/>
      <c r="E121" s="392" t="s">
        <v>3303</v>
      </c>
      <c r="F121" s="392"/>
      <c r="G121" s="1084" t="s">
        <v>3926</v>
      </c>
    </row>
    <row r="122" spans="1:7" s="42" customFormat="1" ht="12" customHeight="1">
      <c r="A122" s="104"/>
      <c r="B122" s="392"/>
      <c r="C122" s="392"/>
      <c r="D122" s="392"/>
      <c r="E122" s="392" t="s">
        <v>3881</v>
      </c>
      <c r="F122" s="392"/>
      <c r="G122" s="1084" t="s">
        <v>3926</v>
      </c>
    </row>
    <row r="123" spans="1:7" s="42" customFormat="1" ht="6" customHeight="1">
      <c r="A123" s="100"/>
      <c r="B123" s="394"/>
      <c r="C123" s="394"/>
      <c r="D123" s="394"/>
      <c r="E123" s="394"/>
      <c r="F123" s="395"/>
      <c r="G123" s="311"/>
    </row>
    <row r="124" spans="1:7" s="42" customFormat="1" ht="12.6" customHeight="1">
      <c r="A124" s="387">
        <v>19</v>
      </c>
      <c r="B124" s="414" t="s">
        <v>2865</v>
      </c>
      <c r="C124" s="1086"/>
      <c r="D124" s="1086"/>
      <c r="E124" s="396" t="s">
        <v>3518</v>
      </c>
      <c r="F124" s="396"/>
      <c r="G124" s="1084" t="s">
        <v>3926</v>
      </c>
    </row>
    <row r="125" spans="1:7" s="42" customFormat="1" ht="12" customHeight="1">
      <c r="A125" s="104"/>
      <c r="B125" s="396"/>
      <c r="C125" s="391"/>
      <c r="D125" s="396"/>
      <c r="E125" s="396" t="s">
        <v>889</v>
      </c>
      <c r="F125" s="396"/>
      <c r="G125" s="1084" t="s">
        <v>3926</v>
      </c>
    </row>
    <row r="126" spans="1:7" s="42" customFormat="1" ht="12" customHeight="1">
      <c r="A126" s="104"/>
      <c r="B126" s="396"/>
      <c r="C126" s="391"/>
      <c r="D126" s="396"/>
      <c r="E126" s="396" t="s">
        <v>3519</v>
      </c>
      <c r="F126" s="396"/>
      <c r="G126" s="1084" t="s">
        <v>2252</v>
      </c>
    </row>
    <row r="127" spans="1:7" s="42" customFormat="1" ht="12" customHeight="1">
      <c r="A127" s="104"/>
      <c r="B127" s="396"/>
      <c r="C127" s="415"/>
      <c r="D127" s="396"/>
      <c r="E127" s="396" t="s">
        <v>3520</v>
      </c>
      <c r="F127" s="396"/>
      <c r="G127" s="1084" t="s">
        <v>2252</v>
      </c>
    </row>
    <row r="128" spans="1:7" s="42" customFormat="1" ht="12" customHeight="1">
      <c r="A128" s="104"/>
      <c r="B128" s="396"/>
      <c r="C128" s="396"/>
      <c r="D128" s="416"/>
      <c r="E128" s="396" t="s">
        <v>3521</v>
      </c>
      <c r="F128" s="396"/>
      <c r="G128" s="1084" t="s">
        <v>2252</v>
      </c>
    </row>
    <row r="129" spans="1:7" s="42" customFormat="1" ht="12" customHeight="1">
      <c r="A129" s="104"/>
      <c r="B129" s="396"/>
      <c r="C129" s="396"/>
      <c r="D129" s="416"/>
      <c r="E129" s="396" t="s">
        <v>3522</v>
      </c>
      <c r="F129" s="396"/>
      <c r="G129" s="1084" t="s">
        <v>2252</v>
      </c>
    </row>
    <row r="130" spans="1:7" s="1090" customFormat="1" ht="12" customHeight="1">
      <c r="A130" s="104"/>
      <c r="B130" s="396"/>
      <c r="C130" s="396"/>
      <c r="D130" s="416"/>
      <c r="E130" s="396" t="s">
        <v>3542</v>
      </c>
      <c r="F130" s="396"/>
      <c r="G130" s="1084" t="s">
        <v>2252</v>
      </c>
    </row>
    <row r="131" spans="1:7" s="42" customFormat="1" ht="24.6" customHeight="1">
      <c r="A131" s="107"/>
      <c r="B131" s="396"/>
      <c r="C131" s="396"/>
      <c r="D131" s="396"/>
      <c r="E131" s="750" t="s">
        <v>3543</v>
      </c>
      <c r="F131" s="751"/>
      <c r="G131" s="1084" t="s">
        <v>3926</v>
      </c>
    </row>
    <row r="132" spans="1:7" s="42" customFormat="1" ht="12.6" customHeight="1">
      <c r="A132" s="387">
        <v>20</v>
      </c>
      <c r="B132" s="414" t="s">
        <v>822</v>
      </c>
      <c r="C132" s="1086"/>
      <c r="D132" s="1086"/>
      <c r="E132" s="396" t="s">
        <v>467</v>
      </c>
      <c r="F132" s="396"/>
      <c r="G132" s="1084" t="s">
        <v>2252</v>
      </c>
    </row>
    <row r="133" spans="1:7" s="42" customFormat="1" ht="12" customHeight="1">
      <c r="A133" s="104"/>
      <c r="B133" s="396"/>
      <c r="C133" s="391"/>
      <c r="D133" s="396"/>
      <c r="E133" s="396" t="s">
        <v>3662</v>
      </c>
      <c r="F133" s="396"/>
      <c r="G133" s="1084" t="s">
        <v>2252</v>
      </c>
    </row>
    <row r="134" spans="1:7" s="42" customFormat="1" ht="12" customHeight="1">
      <c r="A134" s="104"/>
      <c r="B134" s="396"/>
      <c r="C134" s="415"/>
      <c r="D134" s="396"/>
      <c r="E134" s="396" t="s">
        <v>721</v>
      </c>
      <c r="F134" s="396"/>
      <c r="G134" s="1084" t="s">
        <v>2252</v>
      </c>
    </row>
    <row r="135" spans="1:7" s="42" customFormat="1" ht="12" customHeight="1">
      <c r="A135" s="104"/>
      <c r="B135" s="396"/>
      <c r="C135" s="396"/>
      <c r="D135" s="416"/>
      <c r="E135" s="396" t="s">
        <v>722</v>
      </c>
      <c r="F135" s="396"/>
      <c r="G135" s="1084" t="s">
        <v>2252</v>
      </c>
    </row>
    <row r="136" spans="1:7" s="42" customFormat="1" ht="12" customHeight="1">
      <c r="A136" s="104"/>
      <c r="B136" s="396"/>
      <c r="C136" s="396"/>
      <c r="D136" s="416"/>
      <c r="E136" s="396" t="s">
        <v>988</v>
      </c>
      <c r="F136" s="396"/>
      <c r="G136" s="1084" t="s">
        <v>2252</v>
      </c>
    </row>
    <row r="137" spans="1:7" s="1090" customFormat="1" ht="12" customHeight="1">
      <c r="A137" s="104"/>
      <c r="B137" s="396"/>
      <c r="C137" s="396"/>
      <c r="D137" s="416"/>
      <c r="E137" s="396" t="s">
        <v>2291</v>
      </c>
      <c r="F137" s="396"/>
      <c r="G137" s="1084" t="s">
        <v>2252</v>
      </c>
    </row>
    <row r="138" spans="1:7" s="42" customFormat="1" ht="12" customHeight="1">
      <c r="A138" s="104"/>
      <c r="B138" s="396"/>
      <c r="C138" s="396"/>
      <c r="D138" s="396"/>
      <c r="E138" s="711" t="s">
        <v>3572</v>
      </c>
      <c r="F138" s="402"/>
      <c r="G138" s="1084" t="s">
        <v>2252</v>
      </c>
    </row>
    <row r="139" spans="1:7" s="42" customFormat="1" ht="6" customHeight="1">
      <c r="A139" s="100"/>
      <c r="B139" s="394"/>
      <c r="C139" s="394"/>
      <c r="D139" s="394"/>
      <c r="E139" s="394"/>
      <c r="F139" s="395"/>
      <c r="G139" s="312"/>
    </row>
    <row r="140" spans="1:7" ht="11.45" customHeight="1">
      <c r="A140" s="387">
        <v>21</v>
      </c>
      <c r="B140" s="414" t="s">
        <v>2528</v>
      </c>
      <c r="C140" s="1086"/>
      <c r="D140" s="1086"/>
      <c r="E140" s="396" t="s">
        <v>3200</v>
      </c>
      <c r="F140" s="396"/>
      <c r="G140" s="1084" t="s">
        <v>2252</v>
      </c>
    </row>
    <row r="141" spans="1:7" s="42" customFormat="1" ht="11.45" customHeight="1">
      <c r="A141" s="104"/>
      <c r="B141" s="241"/>
      <c r="C141" s="241"/>
      <c r="D141" s="396"/>
      <c r="E141" s="396" t="s">
        <v>2836</v>
      </c>
      <c r="F141" s="396"/>
      <c r="G141" s="1084" t="s">
        <v>3926</v>
      </c>
    </row>
    <row r="142" spans="1:7" s="42" customFormat="1" ht="11.45" customHeight="1">
      <c r="A142" s="104"/>
      <c r="B142" s="396"/>
      <c r="C142" s="396"/>
      <c r="D142" s="396"/>
      <c r="E142" s="396" t="s">
        <v>3076</v>
      </c>
      <c r="F142" s="396"/>
      <c r="G142" s="1084" t="s">
        <v>2252</v>
      </c>
    </row>
    <row r="143" spans="1:7" s="42" customFormat="1" ht="11.45" customHeight="1">
      <c r="A143" s="104"/>
      <c r="B143" s="396"/>
      <c r="C143" s="396"/>
      <c r="D143" s="396"/>
      <c r="E143" s="396" t="s">
        <v>1913</v>
      </c>
      <c r="F143" s="396"/>
      <c r="G143" s="1084" t="s">
        <v>2252</v>
      </c>
    </row>
    <row r="144" spans="1:7" s="42" customFormat="1" ht="11.45" customHeight="1">
      <c r="A144" s="104"/>
      <c r="B144" s="396"/>
      <c r="C144" s="396"/>
      <c r="D144" s="396"/>
      <c r="E144" s="396" t="s">
        <v>1911</v>
      </c>
      <c r="F144" s="396"/>
      <c r="G144" s="1084" t="s">
        <v>2252</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2195</v>
      </c>
      <c r="F146" s="392"/>
      <c r="G146" s="1084" t="s">
        <v>3926</v>
      </c>
    </row>
    <row r="147" spans="1:7" s="42" customFormat="1" ht="12" customHeight="1">
      <c r="A147" s="104"/>
      <c r="B147" s="241"/>
      <c r="C147" s="241"/>
      <c r="D147" s="241"/>
      <c r="E147" s="396" t="s">
        <v>3308</v>
      </c>
      <c r="F147" s="392"/>
      <c r="G147" s="1084" t="s">
        <v>3926</v>
      </c>
    </row>
    <row r="148" spans="1:7" s="42" customFormat="1" ht="12" customHeight="1">
      <c r="A148" s="104"/>
      <c r="B148" s="241"/>
      <c r="C148" s="241"/>
      <c r="D148" s="241"/>
      <c r="E148" s="396" t="s">
        <v>3341</v>
      </c>
      <c r="F148" s="392"/>
      <c r="G148" s="1084" t="s">
        <v>3926</v>
      </c>
    </row>
    <row r="149" spans="1:7" s="42" customFormat="1" ht="12" customHeight="1">
      <c r="A149" s="104"/>
      <c r="B149" s="241"/>
      <c r="C149" s="396"/>
      <c r="D149" s="396"/>
      <c r="E149" s="396" t="s">
        <v>2196</v>
      </c>
      <c r="F149" s="392"/>
      <c r="G149" s="1084" t="s">
        <v>3926</v>
      </c>
    </row>
    <row r="150" spans="1:7" s="42" customFormat="1" ht="12" customHeight="1">
      <c r="A150" s="104"/>
      <c r="B150" s="396"/>
      <c r="C150" s="396"/>
      <c r="D150" s="396"/>
      <c r="E150" s="396" t="s">
        <v>2197</v>
      </c>
      <c r="F150" s="392"/>
      <c r="G150" s="1084" t="s">
        <v>2252</v>
      </c>
    </row>
    <row r="151" spans="1:7" s="42" customFormat="1" ht="12" customHeight="1">
      <c r="A151" s="104"/>
      <c r="B151" s="396"/>
      <c r="C151" s="396"/>
      <c r="D151" s="396"/>
      <c r="E151" s="396" t="s">
        <v>3336</v>
      </c>
      <c r="F151" s="392"/>
      <c r="G151" s="1084" t="s">
        <v>3926</v>
      </c>
    </row>
    <row r="152" spans="1:7" s="42" customFormat="1" ht="12" customHeight="1">
      <c r="A152" s="104"/>
      <c r="B152" s="396"/>
      <c r="C152" s="396"/>
      <c r="D152" s="396"/>
      <c r="E152" s="396" t="s">
        <v>3337</v>
      </c>
      <c r="F152" s="392"/>
      <c r="G152" s="1084" t="s">
        <v>3926</v>
      </c>
    </row>
    <row r="153" spans="1:7" s="42" customFormat="1" ht="12" customHeight="1">
      <c r="A153" s="104"/>
      <c r="B153" s="396"/>
      <c r="C153" s="396"/>
      <c r="D153" s="396"/>
      <c r="E153" s="396" t="s">
        <v>2194</v>
      </c>
      <c r="F153" s="392"/>
      <c r="G153" s="1084" t="s">
        <v>3926</v>
      </c>
    </row>
    <row r="154" spans="1:7" s="42" customFormat="1" ht="12" customHeight="1">
      <c r="A154" s="104"/>
      <c r="B154" s="711"/>
      <c r="C154" s="415"/>
      <c r="D154" s="396"/>
      <c r="E154" s="397" t="s">
        <v>2857</v>
      </c>
      <c r="F154" s="392"/>
      <c r="G154" s="1084" t="s">
        <v>3926</v>
      </c>
    </row>
    <row r="155" spans="1:7" s="42" customFormat="1" ht="5.45" customHeight="1">
      <c r="A155" s="100"/>
      <c r="B155" s="394"/>
      <c r="C155" s="394"/>
      <c r="D155" s="394"/>
      <c r="E155" s="394"/>
      <c r="F155" s="395"/>
      <c r="G155" s="312"/>
    </row>
    <row r="156" spans="1:7" s="42" customFormat="1" ht="12" customHeight="1">
      <c r="A156" s="387">
        <v>23</v>
      </c>
      <c r="B156" s="1091" t="s">
        <v>1914</v>
      </c>
      <c r="C156" s="1092"/>
      <c r="D156" s="1092"/>
      <c r="E156" s="1086" t="s">
        <v>1407</v>
      </c>
      <c r="F156" s="392"/>
      <c r="G156" s="1084" t="s">
        <v>2252</v>
      </c>
    </row>
    <row r="157" spans="1:7" s="42" customFormat="1" ht="12" customHeight="1">
      <c r="A157" s="104"/>
      <c r="B157" s="1093"/>
      <c r="C157" s="1092"/>
      <c r="D157" s="1092"/>
      <c r="E157" s="1086" t="s">
        <v>1408</v>
      </c>
      <c r="F157" s="392"/>
      <c r="G157" s="1084" t="s">
        <v>2252</v>
      </c>
    </row>
    <row r="158" spans="1:7" s="42" customFormat="1" ht="12" customHeight="1">
      <c r="A158" s="104"/>
      <c r="B158" s="1093"/>
      <c r="C158" s="1092"/>
      <c r="D158" s="1092"/>
      <c r="E158" s="1086" t="s">
        <v>1409</v>
      </c>
      <c r="F158" s="392"/>
      <c r="G158" s="1084" t="s">
        <v>2252</v>
      </c>
    </row>
    <row r="159" spans="1:7" s="42" customFormat="1" ht="24.6" customHeight="1">
      <c r="A159" s="104"/>
      <c r="B159" s="1094"/>
      <c r="C159" s="141"/>
      <c r="D159" s="141"/>
      <c r="E159" s="1095" t="s">
        <v>3506</v>
      </c>
      <c r="F159" s="1096"/>
      <c r="G159" s="1084" t="s">
        <v>2252</v>
      </c>
    </row>
    <row r="160" spans="1:7" s="42" customFormat="1" ht="5.45" customHeight="1">
      <c r="A160" s="100"/>
      <c r="B160" s="394"/>
      <c r="C160" s="394"/>
      <c r="D160" s="394"/>
      <c r="E160" s="394"/>
      <c r="F160" s="395"/>
      <c r="G160" s="312"/>
    </row>
    <row r="161" spans="1:7" s="42" customFormat="1" ht="12.6" customHeight="1">
      <c r="A161" s="104"/>
      <c r="B161" s="409" t="s">
        <v>3499</v>
      </c>
      <c r="C161" s="1097"/>
      <c r="D161" s="1098"/>
      <c r="E161" s="1086"/>
      <c r="F161" s="392"/>
      <c r="G161" s="106"/>
    </row>
    <row r="162" spans="1:7" s="42" customFormat="1" ht="12" customHeight="1">
      <c r="A162" s="387">
        <v>24</v>
      </c>
      <c r="B162" s="1087" t="s">
        <v>1024</v>
      </c>
      <c r="C162" s="241"/>
      <c r="D162" s="1086"/>
      <c r="E162" s="398" t="s">
        <v>3500</v>
      </c>
      <c r="F162" s="392"/>
      <c r="G162" s="1084" t="s">
        <v>3926</v>
      </c>
    </row>
    <row r="163" spans="1:7" s="42" customFormat="1" ht="12" customHeight="1">
      <c r="A163" s="104"/>
      <c r="B163" s="241"/>
      <c r="C163" s="711"/>
      <c r="D163" s="1086"/>
      <c r="E163" s="757" t="s">
        <v>865</v>
      </c>
      <c r="F163" s="751"/>
      <c r="G163" s="1084" t="s">
        <v>3926</v>
      </c>
    </row>
    <row r="164" spans="1:7" s="42" customFormat="1" ht="12" customHeight="1">
      <c r="A164" s="104"/>
      <c r="B164" s="401"/>
      <c r="C164" s="1086"/>
      <c r="D164" s="1086"/>
      <c r="E164" s="398" t="s">
        <v>37</v>
      </c>
      <c r="F164" s="392"/>
      <c r="G164" s="1084" t="s">
        <v>3926</v>
      </c>
    </row>
    <row r="165" spans="1:7" s="42" customFormat="1" ht="24.6" customHeight="1">
      <c r="A165" s="104"/>
      <c r="B165" s="401"/>
      <c r="C165" s="1086"/>
      <c r="D165" s="1086"/>
      <c r="E165" s="757" t="s">
        <v>687</v>
      </c>
      <c r="F165" s="751"/>
      <c r="G165" s="1084" t="s">
        <v>2252</v>
      </c>
    </row>
    <row r="166" spans="1:7" s="42" customFormat="1" ht="12" customHeight="1">
      <c r="A166" s="104"/>
      <c r="B166" s="401"/>
      <c r="C166" s="1086"/>
      <c r="D166" s="1086"/>
      <c r="E166" s="757" t="s">
        <v>688</v>
      </c>
      <c r="F166" s="751"/>
      <c r="G166" s="1084" t="s">
        <v>2252</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7" t="s">
        <v>2653</v>
      </c>
      <c r="F168" s="751"/>
      <c r="G168" s="1084" t="s">
        <v>3926</v>
      </c>
    </row>
    <row r="169" spans="1:7" s="42" customFormat="1" ht="13.9" customHeight="1">
      <c r="A169" s="389"/>
      <c r="B169" s="1100"/>
      <c r="C169" s="241"/>
      <c r="D169" s="1087"/>
      <c r="E169" s="757" t="s">
        <v>628</v>
      </c>
      <c r="F169" s="751"/>
      <c r="G169" s="1084" t="s">
        <v>3926</v>
      </c>
    </row>
    <row r="170" spans="1:7" s="42" customFormat="1" ht="12" customHeight="1">
      <c r="A170" s="387">
        <v>26</v>
      </c>
      <c r="B170" s="1087" t="s">
        <v>689</v>
      </c>
      <c r="C170" s="241"/>
      <c r="D170" s="1087"/>
      <c r="E170" s="712" t="s">
        <v>690</v>
      </c>
      <c r="F170" s="708"/>
      <c r="G170" s="1084" t="s">
        <v>2252</v>
      </c>
    </row>
    <row r="171" spans="1:7" s="42" customFormat="1" ht="12" customHeight="1">
      <c r="A171" s="104"/>
      <c r="B171" s="1087"/>
      <c r="C171" s="241"/>
      <c r="E171" s="712" t="s">
        <v>629</v>
      </c>
      <c r="F171" s="708"/>
      <c r="G171" s="1084" t="s">
        <v>2252</v>
      </c>
    </row>
    <row r="172" spans="1:7" s="42" customFormat="1" ht="12" customHeight="1">
      <c r="A172" s="104"/>
      <c r="B172" s="408"/>
      <c r="C172" s="241"/>
      <c r="D172" s="1087"/>
      <c r="E172" s="757" t="s">
        <v>630</v>
      </c>
      <c r="F172" s="751"/>
      <c r="G172" s="1084" t="s">
        <v>2252</v>
      </c>
    </row>
    <row r="173" spans="1:7" s="42" customFormat="1" ht="12" customHeight="1">
      <c r="A173" s="104"/>
      <c r="B173" s="408"/>
      <c r="C173" s="241"/>
      <c r="D173" s="1087"/>
      <c r="E173" s="757" t="s">
        <v>631</v>
      </c>
      <c r="F173" s="751"/>
      <c r="G173" s="1084" t="s">
        <v>2252</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2252</v>
      </c>
    </row>
    <row r="176" spans="1:7" s="42" customFormat="1" ht="12" customHeight="1">
      <c r="A176" s="104"/>
      <c r="B176" s="1087"/>
      <c r="C176" s="241"/>
      <c r="D176" s="1087"/>
      <c r="E176" s="757" t="s">
        <v>177</v>
      </c>
      <c r="F176" s="751"/>
      <c r="G176" s="1084" t="s">
        <v>2252</v>
      </c>
    </row>
    <row r="177" spans="1:7" s="42" customFormat="1" ht="12" customHeight="1">
      <c r="A177" s="104"/>
      <c r="B177" s="1087"/>
      <c r="C177" s="241"/>
      <c r="D177" s="1087"/>
      <c r="E177" s="398" t="s">
        <v>692</v>
      </c>
      <c r="F177" s="396"/>
      <c r="G177" s="1084" t="s">
        <v>2252</v>
      </c>
    </row>
    <row r="178" spans="1:7" s="42" customFormat="1" ht="12" customHeight="1">
      <c r="A178" s="104"/>
      <c r="B178" s="1087"/>
      <c r="C178" s="241"/>
      <c r="D178" s="1087"/>
      <c r="E178" s="398" t="s">
        <v>693</v>
      </c>
      <c r="F178" s="396"/>
      <c r="G178" s="1084" t="s">
        <v>2252</v>
      </c>
    </row>
    <row r="179" spans="1:7" s="42" customFormat="1" ht="12" customHeight="1">
      <c r="A179" s="387"/>
      <c r="B179" s="1087"/>
      <c r="C179" s="241"/>
      <c r="D179" s="1087"/>
      <c r="E179" s="1102" t="s">
        <v>694</v>
      </c>
      <c r="F179" s="396"/>
      <c r="G179" s="1084" t="s">
        <v>2252</v>
      </c>
    </row>
    <row r="180" spans="1:7" s="42" customFormat="1" ht="6" customHeight="1">
      <c r="A180" s="104"/>
      <c r="B180" s="1087"/>
      <c r="C180" s="241"/>
      <c r="D180" s="1087"/>
      <c r="E180" s="398"/>
      <c r="F180" s="398"/>
      <c r="G180" s="147"/>
    </row>
    <row r="181" spans="1:7" s="42" customFormat="1" ht="12" customHeight="1">
      <c r="A181" s="387">
        <v>28</v>
      </c>
      <c r="B181" s="1101" t="s">
        <v>3471</v>
      </c>
      <c r="C181" s="1087"/>
      <c r="D181" s="1087"/>
      <c r="E181" s="757" t="s">
        <v>178</v>
      </c>
      <c r="F181" s="1040"/>
      <c r="G181" s="1084" t="s">
        <v>2252</v>
      </c>
    </row>
    <row r="182" spans="1:7" s="42" customFormat="1" ht="12" customHeight="1">
      <c r="A182" s="387"/>
      <c r="B182" s="1101"/>
      <c r="C182" s="1087"/>
      <c r="D182" s="1087"/>
      <c r="E182" s="757" t="s">
        <v>179</v>
      </c>
      <c r="F182" s="1040"/>
      <c r="G182" s="1084" t="s">
        <v>2252</v>
      </c>
    </row>
    <row r="183" spans="1:7" s="42" customFormat="1" ht="25.15" customHeight="1">
      <c r="A183" s="104"/>
      <c r="B183" s="1087"/>
      <c r="C183" s="241"/>
      <c r="D183" s="1087"/>
      <c r="E183" s="757" t="s">
        <v>1618</v>
      </c>
      <c r="F183" s="751"/>
      <c r="G183" s="1084" t="s">
        <v>2252</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3926</v>
      </c>
    </row>
    <row r="186" spans="1:7" s="42" customFormat="1" ht="12" customHeight="1">
      <c r="A186" s="387"/>
      <c r="B186" s="1101"/>
      <c r="C186" s="241"/>
      <c r="D186" s="1087"/>
      <c r="E186" s="393" t="s">
        <v>1635</v>
      </c>
      <c r="F186" s="708"/>
      <c r="G186" s="1084" t="s">
        <v>3926</v>
      </c>
    </row>
    <row r="187" spans="1:7" s="42" customFormat="1" ht="6" customHeight="1">
      <c r="A187" s="100"/>
      <c r="B187" s="394"/>
      <c r="C187" s="1087"/>
      <c r="D187" s="1087"/>
      <c r="E187" s="1086"/>
      <c r="F187" s="396"/>
      <c r="G187" s="396"/>
    </row>
    <row r="188" spans="1:7" s="42" customFormat="1" ht="12" customHeight="1">
      <c r="A188" s="387">
        <v>30</v>
      </c>
      <c r="B188" s="1087" t="s">
        <v>3883</v>
      </c>
      <c r="C188" s="241"/>
      <c r="D188" s="1087"/>
      <c r="E188" s="1086" t="s">
        <v>1636</v>
      </c>
      <c r="F188" s="396"/>
      <c r="G188" s="1084" t="s">
        <v>3926</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3547</v>
      </c>
      <c r="F191" s="1106"/>
      <c r="G191" s="1084" t="s">
        <v>2252</v>
      </c>
    </row>
    <row r="192" spans="1:7" s="42" customFormat="1" ht="12" customHeight="1">
      <c r="A192" s="387"/>
      <c r="C192" s="1104"/>
      <c r="D192" s="1087"/>
      <c r="E192" s="1107" t="s">
        <v>1637</v>
      </c>
      <c r="F192" s="1108"/>
      <c r="G192" s="1084" t="s">
        <v>2252</v>
      </c>
    </row>
    <row r="193" spans="1:7" s="42" customFormat="1" ht="12" customHeight="1">
      <c r="A193" s="104"/>
      <c r="C193" s="241"/>
      <c r="D193" s="1087"/>
      <c r="E193" s="1109" t="s">
        <v>3548</v>
      </c>
      <c r="F193" s="1110"/>
      <c r="G193" s="1084" t="s">
        <v>2252</v>
      </c>
    </row>
    <row r="194" spans="1:7" s="42" customFormat="1" ht="12" customHeight="1">
      <c r="A194" s="104"/>
      <c r="C194" s="241"/>
      <c r="D194" s="1087"/>
      <c r="E194" s="1086" t="s">
        <v>3549</v>
      </c>
      <c r="F194" s="396"/>
      <c r="G194" s="1084" t="s">
        <v>2252</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3795</v>
      </c>
      <c r="F196" s="396"/>
      <c r="G196" s="1084" t="s">
        <v>2252</v>
      </c>
    </row>
    <row r="197" spans="1:7" s="42" customFormat="1" ht="12" customHeight="1">
      <c r="A197" s="104"/>
      <c r="B197" s="241"/>
      <c r="C197" s="241"/>
      <c r="D197" s="1087"/>
      <c r="E197" s="1086" t="s">
        <v>3381</v>
      </c>
      <c r="F197" s="396"/>
      <c r="G197" s="1084" t="s">
        <v>2252</v>
      </c>
    </row>
    <row r="198" spans="1:7" s="42" customFormat="1" ht="12" customHeight="1">
      <c r="A198" s="104"/>
      <c r="B198" s="1086"/>
      <c r="C198" s="408"/>
      <c r="D198" s="1087"/>
      <c r="E198" s="1086" t="s">
        <v>167</v>
      </c>
      <c r="F198" s="396"/>
      <c r="G198" s="1084" t="s">
        <v>2252</v>
      </c>
    </row>
    <row r="199" spans="1:7" s="42" customFormat="1" ht="12" customHeight="1">
      <c r="A199" s="104"/>
      <c r="B199" s="1086"/>
      <c r="C199" s="1087"/>
      <c r="D199" s="1087"/>
      <c r="E199" s="1086" t="s">
        <v>3882</v>
      </c>
      <c r="F199" s="396"/>
      <c r="G199" s="1084" t="s">
        <v>2252</v>
      </c>
    </row>
    <row r="200" spans="1:7" s="42" customFormat="1" ht="12" customHeight="1">
      <c r="A200" s="104"/>
      <c r="B200" s="711"/>
      <c r="C200" s="1087"/>
      <c r="D200" s="1087"/>
      <c r="E200" s="1086" t="s">
        <v>168</v>
      </c>
      <c r="F200" s="396"/>
      <c r="G200" s="1084" t="s">
        <v>2252</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2731</v>
      </c>
      <c r="F202" s="396"/>
      <c r="G202" s="1084" t="s">
        <v>2252</v>
      </c>
    </row>
    <row r="203" spans="1:7" s="42" customFormat="1" ht="12" customHeight="1">
      <c r="A203" s="104"/>
      <c r="B203" s="711"/>
      <c r="C203" s="1087"/>
      <c r="D203" s="1087"/>
      <c r="E203" s="1086" t="s">
        <v>2732</v>
      </c>
      <c r="F203" s="396"/>
      <c r="G203" s="1084" t="s">
        <v>2252</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2252</v>
      </c>
    </row>
    <row r="206" spans="1:7" s="42" customFormat="1" ht="12" customHeight="1">
      <c r="A206" s="104"/>
      <c r="B206" s="241"/>
      <c r="C206" s="241"/>
      <c r="D206" s="1087"/>
      <c r="E206" s="1086" t="s">
        <v>172</v>
      </c>
      <c r="F206" s="396"/>
      <c r="G206" s="1084" t="s">
        <v>2252</v>
      </c>
    </row>
    <row r="207" spans="1:7" s="42" customFormat="1" ht="12" customHeight="1">
      <c r="A207" s="104"/>
      <c r="B207" s="1086"/>
      <c r="C207" s="408"/>
      <c r="D207" s="1087"/>
      <c r="E207" s="1086" t="s">
        <v>3507</v>
      </c>
      <c r="F207" s="396"/>
      <c r="G207" s="1084" t="s">
        <v>2252</v>
      </c>
    </row>
    <row r="208" spans="1:7" s="42" customFormat="1" ht="12" customHeight="1">
      <c r="A208" s="104"/>
      <c r="B208" s="1086"/>
      <c r="C208" s="1087"/>
      <c r="D208" s="1087"/>
      <c r="E208" s="1086" t="s">
        <v>173</v>
      </c>
      <c r="F208" s="396"/>
      <c r="G208" s="1084" t="s">
        <v>2252</v>
      </c>
    </row>
    <row r="209" spans="1:7" s="42" customFormat="1" ht="12" customHeight="1">
      <c r="A209" s="387"/>
      <c r="B209" s="711"/>
      <c r="C209" s="1087"/>
      <c r="D209" s="1087"/>
      <c r="E209" s="1086" t="s">
        <v>174</v>
      </c>
      <c r="F209" s="396"/>
      <c r="G209" s="1084" t="s">
        <v>2252</v>
      </c>
    </row>
    <row r="210" spans="1:7" s="42" customFormat="1" ht="12" customHeight="1">
      <c r="A210" s="107"/>
      <c r="B210" s="711"/>
      <c r="C210" s="1087"/>
      <c r="D210" s="1087"/>
      <c r="E210" s="1086" t="s">
        <v>175</v>
      </c>
      <c r="F210" s="396"/>
      <c r="G210" s="1084" t="s">
        <v>2252</v>
      </c>
    </row>
    <row r="211" spans="1:7" s="42" customFormat="1" ht="12" customHeight="1">
      <c r="A211" s="387">
        <v>32</v>
      </c>
      <c r="B211" s="1087" t="s">
        <v>3360</v>
      </c>
      <c r="C211" s="241"/>
      <c r="D211" s="1087"/>
      <c r="E211" s="1086" t="s">
        <v>176</v>
      </c>
      <c r="F211" s="396"/>
      <c r="G211" s="1084" t="s">
        <v>2252</v>
      </c>
    </row>
    <row r="212" spans="1:7" s="42" customFormat="1" ht="6" customHeight="1">
      <c r="A212" s="104"/>
      <c r="B212" s="711"/>
      <c r="C212" s="1087"/>
      <c r="D212" s="1087"/>
      <c r="E212" s="1086"/>
      <c r="F212" s="396"/>
      <c r="G212" s="313"/>
    </row>
    <row r="213" spans="1:7" s="42" customFormat="1" ht="12" customHeight="1">
      <c r="A213" s="387">
        <v>33</v>
      </c>
      <c r="B213" s="1087" t="s">
        <v>2840</v>
      </c>
      <c r="C213" s="241"/>
      <c r="D213" s="1087"/>
      <c r="E213" s="757" t="s">
        <v>180</v>
      </c>
      <c r="F213" s="751"/>
      <c r="G213" s="1084" t="s">
        <v>3925</v>
      </c>
    </row>
    <row r="214" spans="1:7" s="42" customFormat="1" ht="12" customHeight="1">
      <c r="A214" s="387"/>
      <c r="B214" s="241"/>
      <c r="C214" s="241"/>
      <c r="D214" s="1087"/>
      <c r="E214" s="757" t="s">
        <v>181</v>
      </c>
      <c r="F214" s="751"/>
      <c r="G214" s="1084" t="s">
        <v>3925</v>
      </c>
    </row>
    <row r="215" spans="1:7" s="42" customFormat="1" ht="12" customHeight="1">
      <c r="A215" s="387"/>
      <c r="B215" s="241"/>
      <c r="C215" s="241"/>
      <c r="D215" s="1087"/>
      <c r="E215" s="393" t="s">
        <v>3508</v>
      </c>
      <c r="F215" s="708"/>
      <c r="G215" s="1084" t="s">
        <v>3926</v>
      </c>
    </row>
    <row r="216" spans="1:7" s="42" customFormat="1" ht="6" customHeight="1">
      <c r="A216" s="104"/>
      <c r="B216" s="711"/>
      <c r="C216" s="1087"/>
      <c r="D216" s="1087"/>
      <c r="E216" s="1086"/>
      <c r="F216" s="396"/>
      <c r="G216" s="654"/>
    </row>
    <row r="217" spans="1:7" s="42" customFormat="1" ht="12.6" customHeight="1">
      <c r="A217" s="387">
        <v>34</v>
      </c>
      <c r="B217" s="1087" t="s">
        <v>2668</v>
      </c>
      <c r="C217" s="1087"/>
      <c r="D217" s="1087"/>
      <c r="E217" s="1086"/>
      <c r="F217" s="396"/>
      <c r="G217" s="601"/>
    </row>
    <row r="218" spans="1:7" s="42" customFormat="1" ht="12" customHeight="1">
      <c r="A218" s="104"/>
      <c r="B218" s="241"/>
      <c r="C218" s="1086" t="s">
        <v>2670</v>
      </c>
      <c r="D218" s="1087"/>
      <c r="E218" s="1086" t="s">
        <v>182</v>
      </c>
      <c r="F218" s="396"/>
      <c r="G218" s="1084" t="s">
        <v>3926</v>
      </c>
    </row>
    <row r="219" spans="1:7" s="42" customFormat="1" ht="12" customHeight="1">
      <c r="A219" s="104"/>
      <c r="B219" s="1086"/>
      <c r="C219" s="1086" t="s">
        <v>2671</v>
      </c>
      <c r="D219" s="1087"/>
      <c r="E219" s="396" t="s">
        <v>148</v>
      </c>
      <c r="F219" s="396"/>
      <c r="G219" s="1084" t="s">
        <v>2252</v>
      </c>
    </row>
    <row r="220" spans="1:7" s="42" customFormat="1" ht="12" customHeight="1">
      <c r="A220" s="104"/>
      <c r="B220" s="1086"/>
      <c r="C220" s="711" t="s">
        <v>2669</v>
      </c>
      <c r="D220" s="1087"/>
      <c r="E220" s="1086" t="s">
        <v>183</v>
      </c>
      <c r="F220" s="396"/>
      <c r="G220" s="1084" t="s">
        <v>3926</v>
      </c>
    </row>
    <row r="221" spans="1:7" s="42" customFormat="1" ht="6" customHeight="1">
      <c r="A221" s="104"/>
      <c r="B221" s="711"/>
      <c r="C221" s="1087"/>
      <c r="D221" s="1087"/>
      <c r="E221" s="1086"/>
      <c r="F221" s="396"/>
      <c r="G221" s="313"/>
    </row>
    <row r="222" spans="1:7" s="42" customFormat="1" ht="12" customHeight="1">
      <c r="A222" s="387">
        <v>35</v>
      </c>
      <c r="B222" s="1087" t="s">
        <v>1905</v>
      </c>
      <c r="C222" s="241"/>
      <c r="D222" s="1087"/>
      <c r="E222" s="1086" t="s">
        <v>1906</v>
      </c>
      <c r="F222" s="396"/>
      <c r="G222" s="1084" t="s">
        <v>3926</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1907</v>
      </c>
      <c r="F224" s="396"/>
      <c r="G224" s="1084" t="s">
        <v>2252</v>
      </c>
    </row>
    <row r="225" spans="1:7" s="42" customFormat="1" ht="6" customHeight="1">
      <c r="A225" s="104"/>
      <c r="B225" s="711"/>
      <c r="C225" s="1087"/>
      <c r="D225" s="1087"/>
      <c r="E225" s="1086"/>
      <c r="F225" s="396"/>
      <c r="G225" s="106"/>
    </row>
    <row r="226" spans="1:7" s="42" customFormat="1" ht="12" customHeight="1">
      <c r="A226" s="387">
        <v>37</v>
      </c>
      <c r="B226" s="1087" t="s">
        <v>2734</v>
      </c>
      <c r="C226" s="241"/>
      <c r="D226" s="1087"/>
      <c r="E226" s="1086" t="s">
        <v>526</v>
      </c>
      <c r="F226" s="396"/>
      <c r="G226" s="1084" t="s">
        <v>2252</v>
      </c>
    </row>
    <row r="227" spans="1:7" s="42" customFormat="1" ht="12" customHeight="1">
      <c r="A227" s="104"/>
      <c r="B227" s="1086"/>
      <c r="C227" s="1087"/>
      <c r="D227" s="1087"/>
      <c r="E227" s="396" t="s">
        <v>527</v>
      </c>
      <c r="F227" s="396"/>
      <c r="G227" s="1084" t="s">
        <v>2252</v>
      </c>
    </row>
    <row r="228" spans="1:7" s="42" customFormat="1" ht="12" customHeight="1">
      <c r="A228" s="104"/>
      <c r="B228" s="1086"/>
      <c r="C228" s="408"/>
      <c r="D228" s="1087"/>
      <c r="E228" s="1086" t="s">
        <v>528</v>
      </c>
      <c r="F228" s="396"/>
      <c r="G228" s="1084" t="s">
        <v>2252</v>
      </c>
    </row>
    <row r="229" spans="1:7" s="42" customFormat="1" ht="12" customHeight="1">
      <c r="A229" s="104"/>
      <c r="B229" s="711"/>
      <c r="C229" s="1087"/>
      <c r="D229" s="1087"/>
      <c r="E229" s="1111" t="s">
        <v>529</v>
      </c>
      <c r="F229" s="396"/>
      <c r="G229" s="1084" t="s">
        <v>2252</v>
      </c>
    </row>
    <row r="230" spans="1:7" s="42" customFormat="1" ht="12" customHeight="1">
      <c r="A230" s="104"/>
      <c r="B230" s="1086"/>
      <c r="E230" s="1086" t="s">
        <v>35</v>
      </c>
      <c r="F230" s="396"/>
      <c r="G230" s="1084" t="s">
        <v>2252</v>
      </c>
    </row>
    <row r="231" spans="1:7" s="42" customFormat="1" ht="12" customHeight="1">
      <c r="A231" s="104"/>
      <c r="B231" s="711"/>
      <c r="E231" s="1111" t="s">
        <v>36</v>
      </c>
      <c r="F231" s="396"/>
      <c r="G231" s="1084" t="s">
        <v>2252</v>
      </c>
    </row>
    <row r="232" spans="1:7" s="42" customFormat="1" ht="6" customHeight="1">
      <c r="A232" s="104"/>
      <c r="B232" s="711"/>
      <c r="C232" s="1087"/>
      <c r="D232" s="1087"/>
      <c r="E232" s="1086"/>
      <c r="F232" s="396"/>
      <c r="G232" s="106"/>
    </row>
    <row r="233" spans="1:7" s="42" customFormat="1" ht="12" customHeight="1">
      <c r="A233" s="387">
        <v>38</v>
      </c>
      <c r="B233" s="1087" t="s">
        <v>3550</v>
      </c>
      <c r="C233" s="241"/>
      <c r="D233" s="1087"/>
      <c r="E233" s="1086" t="s">
        <v>3509</v>
      </c>
      <c r="F233" s="396"/>
      <c r="G233" s="1084" t="s">
        <v>3926</v>
      </c>
    </row>
    <row r="234" spans="1:7" s="42" customFormat="1" ht="12" customHeight="1">
      <c r="A234" s="104"/>
      <c r="B234" s="1086"/>
      <c r="C234" s="1087"/>
      <c r="D234" s="1087"/>
      <c r="E234" s="396" t="s">
        <v>3510</v>
      </c>
      <c r="F234" s="396"/>
      <c r="G234" s="1084" t="s">
        <v>3926</v>
      </c>
    </row>
    <row r="235" spans="1:7" s="42" customFormat="1" ht="6" customHeight="1">
      <c r="A235" s="104"/>
      <c r="B235" s="417"/>
      <c r="C235" s="1112"/>
      <c r="D235" s="1112"/>
      <c r="E235" s="1113"/>
      <c r="F235" s="106"/>
      <c r="G235" s="106"/>
    </row>
    <row r="236" spans="1:7" s="42" customFormat="1" ht="13.15" customHeight="1">
      <c r="A236" s="387">
        <v>39</v>
      </c>
      <c r="B236" s="1087" t="s">
        <v>2362</v>
      </c>
      <c r="E236" s="1114" t="s">
        <v>4040</v>
      </c>
      <c r="F236" s="1114" t="s">
        <v>4041</v>
      </c>
      <c r="G236" s="1084" t="s">
        <v>3926</v>
      </c>
    </row>
    <row r="237" spans="1:7" s="42" customFormat="1" ht="12.6" customHeight="1">
      <c r="A237" s="104"/>
      <c r="C237" s="1115" t="s">
        <v>1025</v>
      </c>
      <c r="D237" s="1116"/>
      <c r="E237" s="1117" t="s">
        <v>4042</v>
      </c>
      <c r="F237" s="1117" t="s">
        <v>4043</v>
      </c>
      <c r="G237" s="1118" t="s">
        <v>3926</v>
      </c>
    </row>
    <row r="238" spans="1:7" s="42" customFormat="1" ht="12.6" customHeight="1">
      <c r="A238" s="104"/>
      <c r="C238" s="1115"/>
      <c r="D238" s="1116"/>
      <c r="E238" s="1117" t="s">
        <v>4073</v>
      </c>
      <c r="F238" s="1117" t="s">
        <v>4074</v>
      </c>
      <c r="G238" s="1118" t="s">
        <v>3926</v>
      </c>
    </row>
    <row r="239" spans="1:7" s="42" customFormat="1" ht="12.6" customHeight="1">
      <c r="A239" s="104"/>
      <c r="C239" s="1119"/>
      <c r="D239" s="1116"/>
      <c r="E239" s="1120"/>
      <c r="F239" s="1120"/>
      <c r="G239" s="1118"/>
    </row>
    <row r="240" spans="1:7" s="42" customFormat="1" ht="26.45" customHeight="1">
      <c r="A240" s="1121" t="s">
        <v>3125</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52" zoomScaleNormal="85" workbookViewId="0">
      <selection activeCell="D24" sqref="D24"/>
    </sheetView>
  </sheetViews>
  <sheetFormatPr defaultColWidth="9.140625" defaultRowHeight="12.75"/>
  <cols>
    <col min="1" max="1" width="2.7109375" style="9" customWidth="1"/>
    <col min="2" max="2" width="12.7109375" style="9" customWidth="1"/>
    <col min="3" max="3" width="9" style="9" customWidth="1"/>
    <col min="4"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20.140625"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2011-015 Briarcliff Summit Apartments , Atlanta, Fulton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3570</v>
      </c>
      <c r="C3" s="2"/>
      <c r="D3" s="167" t="s">
        <v>328</v>
      </c>
      <c r="E3" s="2"/>
      <c r="F3" s="2"/>
      <c r="G3" s="167"/>
      <c r="H3" s="167"/>
      <c r="I3" s="167"/>
      <c r="J3" s="167"/>
      <c r="K3" s="167"/>
      <c r="L3" s="167"/>
      <c r="N3" s="707" t="s">
        <v>885</v>
      </c>
      <c r="O3" s="983" t="str">
        <f>'Part I-Project Information'!$J$26</f>
        <v>Atlanta-Sandy Springs-Marietta</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3685</v>
      </c>
      <c r="FA3" s="655" t="s">
        <v>3686</v>
      </c>
      <c r="FB3" s="655" t="s">
        <v>3687</v>
      </c>
      <c r="FC3" s="655" t="s">
        <v>3688</v>
      </c>
      <c r="FD3" s="656"/>
      <c r="FE3" s="656"/>
      <c r="FF3" s="656"/>
      <c r="FG3" s="656"/>
      <c r="FH3" s="656"/>
      <c r="FI3" s="655" t="s">
        <v>715</v>
      </c>
      <c r="FJ3" s="655" t="s">
        <v>3685</v>
      </c>
      <c r="FK3" s="655" t="s">
        <v>3686</v>
      </c>
      <c r="FL3" s="655" t="s">
        <v>3687</v>
      </c>
      <c r="FM3" s="655" t="s">
        <v>3688</v>
      </c>
      <c r="FN3" s="655" t="s">
        <v>715</v>
      </c>
      <c r="FO3" s="655" t="s">
        <v>3685</v>
      </c>
      <c r="FP3" s="655" t="s">
        <v>3686</v>
      </c>
      <c r="FQ3" s="655" t="s">
        <v>3687</v>
      </c>
      <c r="FR3" s="655" t="s">
        <v>3688</v>
      </c>
      <c r="FS3" s="655" t="s">
        <v>715</v>
      </c>
      <c r="FT3" s="655" t="s">
        <v>3685</v>
      </c>
      <c r="FU3" s="655" t="s">
        <v>3686</v>
      </c>
      <c r="FV3" s="655" t="s">
        <v>3687</v>
      </c>
      <c r="FW3" s="655" t="s">
        <v>3688</v>
      </c>
      <c r="FX3" s="655" t="s">
        <v>715</v>
      </c>
      <c r="FY3" s="655" t="s">
        <v>3685</v>
      </c>
      <c r="FZ3" s="655" t="s">
        <v>3686</v>
      </c>
      <c r="GA3" s="655" t="s">
        <v>3687</v>
      </c>
      <c r="GB3" s="655" t="s">
        <v>3688</v>
      </c>
      <c r="GC3" s="655" t="s">
        <v>715</v>
      </c>
      <c r="GD3" s="655" t="s">
        <v>3685</v>
      </c>
      <c r="GE3" s="655" t="s">
        <v>3686</v>
      </c>
      <c r="GF3" s="655" t="s">
        <v>3687</v>
      </c>
      <c r="GG3" s="655" t="s">
        <v>3688</v>
      </c>
      <c r="GH3" s="655" t="s">
        <v>715</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3451</v>
      </c>
      <c r="AA4" s="965" t="s">
        <v>3452</v>
      </c>
      <c r="AB4" s="965" t="s">
        <v>3453</v>
      </c>
      <c r="AC4" s="965" t="s">
        <v>3454</v>
      </c>
      <c r="AD4" s="965" t="s">
        <v>1514</v>
      </c>
      <c r="AE4" s="965" t="s">
        <v>3455</v>
      </c>
      <c r="AF4" s="965" t="s">
        <v>3456</v>
      </c>
      <c r="AG4" s="965" t="s">
        <v>3457</v>
      </c>
      <c r="AH4" s="965" t="s">
        <v>3458</v>
      </c>
      <c r="AI4" s="965" t="s">
        <v>152</v>
      </c>
      <c r="AJ4" s="965" t="s">
        <v>3459</v>
      </c>
      <c r="AK4" s="965" t="s">
        <v>3460</v>
      </c>
      <c r="AL4" s="965" t="s">
        <v>3461</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3675</v>
      </c>
      <c r="BS4" s="965" t="s">
        <v>3676</v>
      </c>
      <c r="BT4" s="965" t="s">
        <v>3677</v>
      </c>
      <c r="BU4" s="965" t="s">
        <v>3678</v>
      </c>
      <c r="BV4" s="965" t="s">
        <v>3679</v>
      </c>
      <c r="BW4" s="965" t="s">
        <v>132</v>
      </c>
      <c r="BX4" s="965" t="s">
        <v>1792</v>
      </c>
      <c r="BY4" s="965" t="s">
        <v>1793</v>
      </c>
      <c r="BZ4" s="965" t="s">
        <v>1873</v>
      </c>
      <c r="CA4" s="965" t="s">
        <v>1874</v>
      </c>
      <c r="CB4" s="964" t="s">
        <v>155</v>
      </c>
      <c r="CC4" s="964" t="s">
        <v>1875</v>
      </c>
      <c r="CD4" s="964" t="s">
        <v>1876</v>
      </c>
      <c r="CE4" s="964" t="s">
        <v>1877</v>
      </c>
      <c r="CF4" s="964" t="s">
        <v>1878</v>
      </c>
      <c r="CG4" s="964" t="s">
        <v>154</v>
      </c>
      <c r="CH4" s="964" t="s">
        <v>1504</v>
      </c>
      <c r="CI4" s="964" t="s">
        <v>1505</v>
      </c>
      <c r="CJ4" s="964" t="s">
        <v>1506</v>
      </c>
      <c r="CK4" s="964" t="s">
        <v>1507</v>
      </c>
      <c r="CL4" s="964" t="s">
        <v>153</v>
      </c>
      <c r="CM4" s="964" t="s">
        <v>1508</v>
      </c>
      <c r="CN4" s="964" t="s">
        <v>1509</v>
      </c>
      <c r="CO4" s="964" t="s">
        <v>1510</v>
      </c>
      <c r="CP4" s="964" t="s">
        <v>1511</v>
      </c>
      <c r="CQ4" s="964" t="s">
        <v>1390</v>
      </c>
      <c r="CR4" s="964" t="s">
        <v>1391</v>
      </c>
      <c r="CS4" s="964" t="s">
        <v>1392</v>
      </c>
      <c r="CT4" s="964" t="s">
        <v>1393</v>
      </c>
      <c r="CU4" s="964" t="s">
        <v>1394</v>
      </c>
      <c r="CV4" s="964" t="s">
        <v>1555</v>
      </c>
      <c r="CW4" s="964" t="s">
        <v>1556</v>
      </c>
      <c r="CX4" s="964" t="s">
        <v>1557</v>
      </c>
      <c r="CY4" s="964" t="s">
        <v>1558</v>
      </c>
      <c r="CZ4" s="964" t="s">
        <v>3674</v>
      </c>
      <c r="DA4" s="964" t="s">
        <v>2154</v>
      </c>
      <c r="DB4" s="964" t="s">
        <v>2155</v>
      </c>
      <c r="DC4" s="964" t="s">
        <v>2156</v>
      </c>
      <c r="DD4" s="964" t="s">
        <v>2157</v>
      </c>
      <c r="DE4" s="964" t="s">
        <v>2158</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2847</v>
      </c>
      <c r="DT4" s="964" t="s">
        <v>2848</v>
      </c>
      <c r="DU4" s="964" t="s">
        <v>2849</v>
      </c>
      <c r="DV4" s="964" t="s">
        <v>908</v>
      </c>
      <c r="DW4" s="964" t="s">
        <v>909</v>
      </c>
      <c r="DX4" s="964" t="s">
        <v>910</v>
      </c>
      <c r="DY4" s="964" t="s">
        <v>911</v>
      </c>
      <c r="DZ4" s="964" t="s">
        <v>24</v>
      </c>
      <c r="EA4" s="964" t="s">
        <v>25</v>
      </c>
      <c r="EB4" s="964" t="s">
        <v>26</v>
      </c>
      <c r="EC4" s="964" t="s">
        <v>27</v>
      </c>
      <c r="ED4" s="964" t="s">
        <v>28</v>
      </c>
      <c r="EE4" s="964" t="s">
        <v>732</v>
      </c>
      <c r="EF4" s="964" t="s">
        <v>641</v>
      </c>
      <c r="EG4" s="964" t="s">
        <v>642</v>
      </c>
      <c r="EH4" s="964" t="s">
        <v>643</v>
      </c>
      <c r="EI4" s="964" t="s">
        <v>644</v>
      </c>
      <c r="EJ4" s="964" t="s">
        <v>3320</v>
      </c>
      <c r="EK4" s="964" t="s">
        <v>3321</v>
      </c>
      <c r="EL4" s="964" t="s">
        <v>3322</v>
      </c>
      <c r="EM4" s="964" t="s">
        <v>2212</v>
      </c>
      <c r="EN4" s="964" t="s">
        <v>2213</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2527</v>
      </c>
      <c r="GN4" s="964" t="s">
        <v>3810</v>
      </c>
      <c r="GO4" s="964" t="s">
        <v>3811</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2897</v>
      </c>
      <c r="D5" s="2"/>
      <c r="E5" s="5"/>
      <c r="F5" s="2"/>
      <c r="G5" s="1303"/>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2838</v>
      </c>
      <c r="D6" s="2"/>
      <c r="E6" s="5"/>
      <c r="G6" s="1304" t="s">
        <v>3926</v>
      </c>
      <c r="J6" s="737" t="s">
        <v>3644</v>
      </c>
      <c r="O6" s="2"/>
      <c r="P6" s="658">
        <f>VLOOKUP('Part I-Project Information'!$J$26,'DCA Underwriting Assumptions'!$C$77:$D$187,2)</f>
        <v>71800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3645</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2211</v>
      </c>
      <c r="C8" s="737" t="s">
        <v>228</v>
      </c>
      <c r="D8" s="737" t="s">
        <v>838</v>
      </c>
      <c r="E8" s="737" t="s">
        <v>2209</v>
      </c>
      <c r="F8" s="737" t="s">
        <v>2209</v>
      </c>
      <c r="G8" s="737" t="s">
        <v>3616</v>
      </c>
      <c r="H8" s="737" t="s">
        <v>3614</v>
      </c>
      <c r="I8" s="737" t="s">
        <v>1379</v>
      </c>
      <c r="J8" s="737" t="s">
        <v>3646</v>
      </c>
      <c r="K8" s="981" t="s">
        <v>186</v>
      </c>
      <c r="L8" s="981"/>
      <c r="M8" s="737" t="s">
        <v>3571</v>
      </c>
      <c r="N8" s="737" t="s">
        <v>824</v>
      </c>
      <c r="O8" s="737" t="s">
        <v>487</v>
      </c>
      <c r="P8" s="984" t="s">
        <v>1664</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2186</v>
      </c>
      <c r="EU8" s="445" t="s">
        <v>3685</v>
      </c>
      <c r="EV8" s="445" t="s">
        <v>3686</v>
      </c>
      <c r="EW8" s="445" t="s">
        <v>3687</v>
      </c>
      <c r="EX8" s="445" t="s">
        <v>3688</v>
      </c>
      <c r="EY8" s="964" t="s">
        <v>3775</v>
      </c>
      <c r="EZ8" s="964" t="s">
        <v>3775</v>
      </c>
      <c r="FA8" s="964" t="s">
        <v>3775</v>
      </c>
      <c r="FB8" s="964" t="s">
        <v>3775</v>
      </c>
      <c r="FC8" s="964" t="s">
        <v>3775</v>
      </c>
      <c r="FD8" s="445" t="s">
        <v>715</v>
      </c>
      <c r="FE8" s="445" t="s">
        <v>3685</v>
      </c>
      <c r="FF8" s="445" t="s">
        <v>3686</v>
      </c>
      <c r="FG8" s="445" t="s">
        <v>3687</v>
      </c>
      <c r="FH8" s="445" t="s">
        <v>3688</v>
      </c>
      <c r="FI8" s="964" t="s">
        <v>3777</v>
      </c>
      <c r="FJ8" s="964" t="s">
        <v>3777</v>
      </c>
      <c r="FK8" s="964" t="s">
        <v>3777</v>
      </c>
      <c r="FL8" s="964" t="s">
        <v>3777</v>
      </c>
      <c r="FM8" s="964" t="s">
        <v>3777</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2185</v>
      </c>
      <c r="GI8" s="964" t="s">
        <v>2185</v>
      </c>
      <c r="GJ8" s="964" t="s">
        <v>2185</v>
      </c>
      <c r="GK8" s="964" t="s">
        <v>2185</v>
      </c>
      <c r="GL8" s="964" t="s">
        <v>2185</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1995</v>
      </c>
      <c r="C9" s="737" t="s">
        <v>227</v>
      </c>
      <c r="D9" s="737" t="s">
        <v>229</v>
      </c>
      <c r="E9" s="737" t="s">
        <v>2210</v>
      </c>
      <c r="F9" s="737" t="s">
        <v>1962</v>
      </c>
      <c r="G9" s="737" t="s">
        <v>1963</v>
      </c>
      <c r="H9" s="737" t="s">
        <v>3615</v>
      </c>
      <c r="I9" s="737" t="s">
        <v>1380</v>
      </c>
      <c r="J9" s="684" t="s">
        <v>450</v>
      </c>
      <c r="K9" s="737" t="s">
        <v>2280</v>
      </c>
      <c r="L9" s="737" t="s">
        <v>831</v>
      </c>
      <c r="M9" s="737" t="s">
        <v>2209</v>
      </c>
      <c r="N9" s="737" t="s">
        <v>1995</v>
      </c>
      <c r="O9" s="737" t="s">
        <v>488</v>
      </c>
      <c r="P9" s="738" t="s">
        <v>1662</v>
      </c>
      <c r="Q9" s="738" t="s">
        <v>1663</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3774</v>
      </c>
      <c r="EV9" s="445" t="s">
        <v>3774</v>
      </c>
      <c r="EW9" s="445" t="s">
        <v>3774</v>
      </c>
      <c r="EX9" s="445" t="s">
        <v>3774</v>
      </c>
      <c r="EY9" s="964"/>
      <c r="EZ9" s="964"/>
      <c r="FA9" s="964"/>
      <c r="FB9" s="964"/>
      <c r="FC9" s="964"/>
      <c r="FD9" s="445" t="s">
        <v>3776</v>
      </c>
      <c r="FE9" s="445" t="s">
        <v>3776</v>
      </c>
      <c r="FF9" s="445" t="s">
        <v>3776</v>
      </c>
      <c r="FG9" s="445" t="s">
        <v>3776</v>
      </c>
      <c r="FH9" s="445" t="s">
        <v>3776</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5" t="s">
        <v>133</v>
      </c>
      <c r="C10" s="1306" t="s">
        <v>864</v>
      </c>
      <c r="D10" s="1307">
        <v>1</v>
      </c>
      <c r="E10" s="1308">
        <v>7</v>
      </c>
      <c r="F10" s="1308">
        <v>390</v>
      </c>
      <c r="G10" s="1308">
        <v>598</v>
      </c>
      <c r="H10" s="1308">
        <v>906</v>
      </c>
      <c r="I10" s="1308">
        <v>56</v>
      </c>
      <c r="J10" s="1309" t="s">
        <v>3989</v>
      </c>
      <c r="K10" s="226">
        <f>MAX(0,H10-I10)</f>
        <v>850</v>
      </c>
      <c r="L10" s="226">
        <f t="shared" ref="L10:L47" si="0">MAX(0,E10*K10)</f>
        <v>5950</v>
      </c>
      <c r="M10" s="1310" t="s">
        <v>3925</v>
      </c>
      <c r="N10" s="1310" t="s">
        <v>3990</v>
      </c>
      <c r="O10" s="1310" t="s">
        <v>3991</v>
      </c>
      <c r="P10" s="581">
        <f>IF(H10="","",H10*12/0.3)</f>
        <v>36240</v>
      </c>
      <c r="Q10" s="582" t="e">
        <f>IF(H10="","",P10/($P$6*VLOOKUP(C10,'DCA Underwriting Assumptions'!$J$77:$K$82,2,FALSE)))</f>
        <v>#N/A</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f t="shared" ref="Y10:Y47" si="6">IF(AND(C10="Efficiency",B10="50% AMI",NOT(M10="Common")),E10,"")</f>
        <v>7</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f>IF(OR(AND($C10="Efficiency",NOT($J10=""),NOT($J10="PHA Oper Sub"),NOT($J10=0),$B10="50% AMI",NOT($M10="Common")),AND($C10="Efficiency",NOT($J10=""),NOT($J10=0),NOT($J10="PHA Oper Sub"),$B10="HOME 50% AMI",NOT($M10="Common"))),$E10,"")</f>
        <v>7</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f t="shared" ref="CB10:CB47" si="31">IF(OR(AND(C10="Efficiency",B10="50% AMI",NOT(M10="Common")),AND(C10="Efficiency",B10="HOME 50% AMI",NOT(M10="Common"))),E10*F10,"")</f>
        <v>2730</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f t="shared" ref="CQ10:CQ47" si="46">IF(AND(C10="Efficiency",NOT(J10=""),NOT($J10=0),NOT(M10="Common")),E10*F10,"")</f>
        <v>2730</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f t="shared" ref="DP10:DP47" si="71">IF(AND($C10="Efficiency", $O10="Acquisition/Rehab",NOT($B10="Unrestricted"),NOT($B10="NSP 120% AMI"),NOT($B10="N/A-CS"),NOT($M10="Common")),$E10,"")</f>
        <v>7</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f t="shared" ref="ET10:ET47" si="101">IF(AND($C10="Efficiency", NOT(OR($N10="SF Detached",$N10="Mfd Home",$N10="Duplex",$N10="Townhome"))),$E10,"")</f>
        <v>7</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f t="shared" ref="GH10:GH47" si="141">IF(AND($C10="Efficiency", $N10="3+ Story"),$E10,"")</f>
        <v>7</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1" t="s">
        <v>133</v>
      </c>
      <c r="C11" s="1312" t="s">
        <v>864</v>
      </c>
      <c r="D11" s="1313">
        <v>1</v>
      </c>
      <c r="E11" s="1314">
        <v>7</v>
      </c>
      <c r="F11" s="1314">
        <v>436</v>
      </c>
      <c r="G11" s="1314">
        <v>598</v>
      </c>
      <c r="H11" s="1314">
        <v>906</v>
      </c>
      <c r="I11" s="1314">
        <v>56</v>
      </c>
      <c r="J11" s="1315" t="s">
        <v>3989</v>
      </c>
      <c r="K11" s="227">
        <f t="shared" ref="K11:K27" si="172">MAX(0,H11-I11)</f>
        <v>850</v>
      </c>
      <c r="L11" s="227">
        <f t="shared" si="0"/>
        <v>5950</v>
      </c>
      <c r="M11" s="1316" t="s">
        <v>3925</v>
      </c>
      <c r="N11" s="1316" t="s">
        <v>3990</v>
      </c>
      <c r="O11" s="1316" t="s">
        <v>3991</v>
      </c>
      <c r="P11" s="581">
        <f>IF(H11="","",H11*12/0.3)</f>
        <v>36240</v>
      </c>
      <c r="Q11" s="582" t="e">
        <f>IF(H11="","",P11/($P$6*VLOOKUP(C11,'DCA Underwriting Assumptions'!$J$77:$K$82,2,FALSE)))</f>
        <v>#N/A</v>
      </c>
      <c r="R11" s="738"/>
      <c r="S11" s="659"/>
      <c r="T11" s="113" t="str">
        <f t="shared" si="1"/>
        <v/>
      </c>
      <c r="U11" s="113" t="str">
        <f t="shared" si="2"/>
        <v/>
      </c>
      <c r="V11" s="113" t="str">
        <f t="shared" si="3"/>
        <v/>
      </c>
      <c r="W11" s="113" t="str">
        <f t="shared" si="4"/>
        <v/>
      </c>
      <c r="X11" s="113" t="str">
        <f t="shared" si="5"/>
        <v/>
      </c>
      <c r="Y11" s="113">
        <f t="shared" si="6"/>
        <v>7</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f t="shared" ref="AS11:AS47" si="178">IF(OR(AND($C11="Efficiency",NOT($J11=""),NOT($J11="PHA Oper Sub"),NOT($J11=0),$B11="50% AMI",NOT($M11="Common")),AND($C11="Efficiency",NOT($J11=""),NOT($J11=0),NOT($J11="PHA Oper Sub"),$B11="HOME 50% AMI",NOT($M11="Common"))),$E11,"")</f>
        <v>7</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f t="shared" si="31"/>
        <v>3052</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f t="shared" si="46"/>
        <v>3052</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f t="shared" si="71"/>
        <v>7</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f t="shared" si="101"/>
        <v>7</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f t="shared" si="141"/>
        <v>7</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1" t="s">
        <v>133</v>
      </c>
      <c r="C12" s="1312">
        <v>1</v>
      </c>
      <c r="D12" s="1313">
        <v>1</v>
      </c>
      <c r="E12" s="1314">
        <v>7</v>
      </c>
      <c r="F12" s="1314">
        <v>599</v>
      </c>
      <c r="G12" s="1314">
        <v>641</v>
      </c>
      <c r="H12" s="1314">
        <v>1031</v>
      </c>
      <c r="I12" s="1314">
        <v>56</v>
      </c>
      <c r="J12" s="1315" t="s">
        <v>3989</v>
      </c>
      <c r="K12" s="227">
        <f t="shared" si="172"/>
        <v>975</v>
      </c>
      <c r="L12" s="227">
        <f t="shared" si="0"/>
        <v>6825</v>
      </c>
      <c r="M12" s="1316" t="s">
        <v>3925</v>
      </c>
      <c r="N12" s="1316" t="s">
        <v>3990</v>
      </c>
      <c r="O12" s="1316" t="s">
        <v>3991</v>
      </c>
      <c r="P12" s="581">
        <f>IF(H12="","",H12*12/0.3)</f>
        <v>41240</v>
      </c>
      <c r="Q12" s="582">
        <f>IF(H12="","",P12/($P$6*VLOOKUP(C12,'DCA Underwriting Assumptions'!$J$77:$K$82,2,FALSE)))</f>
        <v>0.76583101207056636</v>
      </c>
      <c r="R12" s="738"/>
      <c r="S12" s="659"/>
      <c r="T12" s="113" t="str">
        <f t="shared" si="1"/>
        <v/>
      </c>
      <c r="U12" s="113" t="str">
        <f t="shared" si="2"/>
        <v/>
      </c>
      <c r="V12" s="113" t="str">
        <f t="shared" si="3"/>
        <v/>
      </c>
      <c r="W12" s="113" t="str">
        <f t="shared" si="4"/>
        <v/>
      </c>
      <c r="X12" s="113" t="str">
        <f t="shared" si="5"/>
        <v/>
      </c>
      <c r="Y12" s="113" t="str">
        <f t="shared" si="6"/>
        <v/>
      </c>
      <c r="Z12" s="113">
        <f t="shared" si="7"/>
        <v>7</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f t="shared" si="179"/>
        <v>7</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f t="shared" si="32"/>
        <v>4193</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f t="shared" si="47"/>
        <v>4193</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f t="shared" si="72"/>
        <v>7</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7</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f t="shared" si="142"/>
        <v>7</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1" t="s">
        <v>133</v>
      </c>
      <c r="C13" s="1312">
        <v>1</v>
      </c>
      <c r="D13" s="1313">
        <v>1</v>
      </c>
      <c r="E13" s="1314">
        <v>6</v>
      </c>
      <c r="F13" s="1314">
        <v>695</v>
      </c>
      <c r="G13" s="1314">
        <v>641</v>
      </c>
      <c r="H13" s="1314">
        <v>1031</v>
      </c>
      <c r="I13" s="1314">
        <v>56</v>
      </c>
      <c r="J13" s="1315" t="s">
        <v>3989</v>
      </c>
      <c r="K13" s="227">
        <f t="shared" si="172"/>
        <v>975</v>
      </c>
      <c r="L13" s="227">
        <f t="shared" si="0"/>
        <v>5850</v>
      </c>
      <c r="M13" s="1316" t="s">
        <v>3925</v>
      </c>
      <c r="N13" s="1316" t="s">
        <v>3990</v>
      </c>
      <c r="O13" s="1316" t="s">
        <v>3991</v>
      </c>
      <c r="P13" s="581">
        <f>IF(H13="","",H13*12/0.3)</f>
        <v>41240</v>
      </c>
      <c r="Q13" s="582">
        <f>IF(H13="","",P13/($P$6*VLOOKUP(C13,'DCA Underwriting Assumptions'!$J$77:$K$82,2,FALSE)))</f>
        <v>0.76583101207056636</v>
      </c>
      <c r="R13" s="738"/>
      <c r="S13" s="659"/>
      <c r="T13" s="113" t="str">
        <f t="shared" si="1"/>
        <v/>
      </c>
      <c r="U13" s="113" t="str">
        <f t="shared" si="2"/>
        <v/>
      </c>
      <c r="V13" s="113" t="str">
        <f t="shared" si="3"/>
        <v/>
      </c>
      <c r="W13" s="113" t="str">
        <f t="shared" si="4"/>
        <v/>
      </c>
      <c r="X13" s="113" t="str">
        <f t="shared" si="5"/>
        <v/>
      </c>
      <c r="Y13" s="113" t="str">
        <f t="shared" si="6"/>
        <v/>
      </c>
      <c r="Z13" s="113">
        <f t="shared" si="7"/>
        <v>6</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f t="shared" si="179"/>
        <v>6</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f t="shared" si="32"/>
        <v>4170</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f t="shared" si="47"/>
        <v>4170</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f t="shared" si="72"/>
        <v>6</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6</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f t="shared" si="142"/>
        <v>6</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1" t="s">
        <v>133</v>
      </c>
      <c r="C14" s="1312">
        <v>2</v>
      </c>
      <c r="D14" s="1313">
        <v>1</v>
      </c>
      <c r="E14" s="1314">
        <v>4</v>
      </c>
      <c r="F14" s="1314">
        <v>780</v>
      </c>
      <c r="G14" s="1314">
        <v>768</v>
      </c>
      <c r="H14" s="1314">
        <v>1152</v>
      </c>
      <c r="I14" s="1314">
        <v>77</v>
      </c>
      <c r="J14" s="1315" t="s">
        <v>3989</v>
      </c>
      <c r="K14" s="227">
        <f t="shared" si="172"/>
        <v>1075</v>
      </c>
      <c r="L14" s="227">
        <f t="shared" si="0"/>
        <v>4300</v>
      </c>
      <c r="M14" s="1316" t="s">
        <v>3925</v>
      </c>
      <c r="N14" s="1316" t="s">
        <v>3990</v>
      </c>
      <c r="O14" s="1316" t="s">
        <v>3991</v>
      </c>
      <c r="P14" s="581">
        <f>IF(H14="","",H14*12/0.3)</f>
        <v>46080</v>
      </c>
      <c r="Q14" s="582">
        <f>IF(H14="","",P14/($P$6*VLOOKUP(C14,'DCA Underwriting Assumptions'!$J$77:$K$82,2,FALSE)))</f>
        <v>0.71309192200557103</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f t="shared" si="8"/>
        <v>4</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f t="shared" si="180"/>
        <v>4</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f t="shared" si="33"/>
        <v>3120</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f t="shared" si="48"/>
        <v>3120</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f t="shared" si="73"/>
        <v>4</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4</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f t="shared" si="143"/>
        <v>4</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1" t="s">
        <v>1790</v>
      </c>
      <c r="C15" s="1312" t="s">
        <v>864</v>
      </c>
      <c r="D15" s="1313">
        <v>1</v>
      </c>
      <c r="E15" s="1314">
        <v>8</v>
      </c>
      <c r="F15" s="1314">
        <v>318</v>
      </c>
      <c r="G15" s="1314">
        <v>718</v>
      </c>
      <c r="H15" s="1314">
        <v>906</v>
      </c>
      <c r="I15" s="1314">
        <v>56</v>
      </c>
      <c r="J15" s="1315" t="s">
        <v>3989</v>
      </c>
      <c r="K15" s="227">
        <f t="shared" si="172"/>
        <v>850</v>
      </c>
      <c r="L15" s="227">
        <f t="shared" si="0"/>
        <v>6800</v>
      </c>
      <c r="M15" s="1316" t="s">
        <v>3925</v>
      </c>
      <c r="N15" s="1316" t="s">
        <v>3990</v>
      </c>
      <c r="O15" s="1316" t="s">
        <v>3991</v>
      </c>
      <c r="P15" s="581">
        <f t="shared" ref="P15:P47" si="203">IF(H15="","",H15*12/0.3)</f>
        <v>36240</v>
      </c>
      <c r="Q15" s="582" t="e">
        <f>IF(H15="","",P15/($P$6*VLOOKUP(C15,'DCA Underwriting Assumptions'!$J$77:$K$82,2,FALSE)))</f>
        <v>#N/A</v>
      </c>
      <c r="R15" s="738"/>
      <c r="S15" s="659"/>
      <c r="T15" s="113">
        <f t="shared" si="1"/>
        <v>8</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f t="shared" si="183"/>
        <v>8</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f t="shared" si="26"/>
        <v>2544</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f t="shared" si="46"/>
        <v>2544</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f t="shared" si="71"/>
        <v>8</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f t="shared" si="101"/>
        <v>8</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f t="shared" si="141"/>
        <v>8</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1" t="s">
        <v>1790</v>
      </c>
      <c r="C16" s="1312" t="s">
        <v>864</v>
      </c>
      <c r="D16" s="1313">
        <v>1</v>
      </c>
      <c r="E16" s="1314">
        <v>8</v>
      </c>
      <c r="F16" s="1314">
        <v>346</v>
      </c>
      <c r="G16" s="1314">
        <v>718</v>
      </c>
      <c r="H16" s="1314">
        <v>906</v>
      </c>
      <c r="I16" s="1314">
        <v>56</v>
      </c>
      <c r="J16" s="1315" t="s">
        <v>3989</v>
      </c>
      <c r="K16" s="227">
        <f t="shared" si="172"/>
        <v>850</v>
      </c>
      <c r="L16" s="227">
        <f t="shared" si="0"/>
        <v>6800</v>
      </c>
      <c r="M16" s="1316" t="s">
        <v>3925</v>
      </c>
      <c r="N16" s="1316" t="s">
        <v>3990</v>
      </c>
      <c r="O16" s="1316" t="s">
        <v>3991</v>
      </c>
      <c r="P16" s="581">
        <f t="shared" si="203"/>
        <v>36240</v>
      </c>
      <c r="Q16" s="582" t="e">
        <f>IF(H16="","",P16/($P$6*VLOOKUP(C16,'DCA Underwriting Assumptions'!$J$77:$K$82,2,FALSE)))</f>
        <v>#N/A</v>
      </c>
      <c r="R16" s="738"/>
      <c r="S16" s="659"/>
      <c r="T16" s="113">
        <f t="shared" si="1"/>
        <v>8</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f t="shared" si="183"/>
        <v>8</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f t="shared" si="26"/>
        <v>2768</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f t="shared" si="46"/>
        <v>2768</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f t="shared" si="71"/>
        <v>8</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f t="shared" si="101"/>
        <v>8</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f t="shared" si="141"/>
        <v>8</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1" t="s">
        <v>1790</v>
      </c>
      <c r="C17" s="1312" t="s">
        <v>864</v>
      </c>
      <c r="D17" s="1313">
        <v>1</v>
      </c>
      <c r="E17" s="1314">
        <v>8</v>
      </c>
      <c r="F17" s="1314">
        <v>349</v>
      </c>
      <c r="G17" s="1314">
        <v>718</v>
      </c>
      <c r="H17" s="1314">
        <v>906</v>
      </c>
      <c r="I17" s="1314">
        <v>56</v>
      </c>
      <c r="J17" s="1315" t="s">
        <v>3989</v>
      </c>
      <c r="K17" s="227">
        <f t="shared" si="172"/>
        <v>850</v>
      </c>
      <c r="L17" s="227">
        <f t="shared" si="0"/>
        <v>6800</v>
      </c>
      <c r="M17" s="1316" t="s">
        <v>3925</v>
      </c>
      <c r="N17" s="1316" t="s">
        <v>3990</v>
      </c>
      <c r="O17" s="1316" t="s">
        <v>3991</v>
      </c>
      <c r="P17" s="581">
        <f t="shared" si="203"/>
        <v>36240</v>
      </c>
      <c r="Q17" s="582" t="e">
        <f>IF(H17="","",P17/($P$6*VLOOKUP(C17,'DCA Underwriting Assumptions'!$J$77:$K$82,2,FALSE)))</f>
        <v>#N/A</v>
      </c>
      <c r="R17" s="738"/>
      <c r="S17" s="659"/>
      <c r="T17" s="113">
        <f t="shared" si="1"/>
        <v>8</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f t="shared" si="183"/>
        <v>8</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f t="shared" si="26"/>
        <v>2792</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f t="shared" si="46"/>
        <v>2792</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f t="shared" si="71"/>
        <v>8</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f t="shared" si="101"/>
        <v>8</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f t="shared" si="141"/>
        <v>8</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1" t="s">
        <v>1790</v>
      </c>
      <c r="C18" s="1312" t="s">
        <v>864</v>
      </c>
      <c r="D18" s="1313">
        <v>1</v>
      </c>
      <c r="E18" s="1314">
        <v>1</v>
      </c>
      <c r="F18" s="1314">
        <v>390</v>
      </c>
      <c r="G18" s="1314">
        <v>718</v>
      </c>
      <c r="H18" s="1314">
        <v>906</v>
      </c>
      <c r="I18" s="1314">
        <v>56</v>
      </c>
      <c r="J18" s="1315" t="s">
        <v>3989</v>
      </c>
      <c r="K18" s="227">
        <f t="shared" si="172"/>
        <v>850</v>
      </c>
      <c r="L18" s="227">
        <f t="shared" si="0"/>
        <v>850</v>
      </c>
      <c r="M18" s="1316" t="s">
        <v>3925</v>
      </c>
      <c r="N18" s="1316" t="s">
        <v>3990</v>
      </c>
      <c r="O18" s="1316" t="s">
        <v>3991</v>
      </c>
      <c r="P18" s="581">
        <f t="shared" si="203"/>
        <v>36240</v>
      </c>
      <c r="Q18" s="582" t="e">
        <f>IF(H18="","",P18/($P$6*VLOOKUP(C18,'DCA Underwriting Assumptions'!$J$77:$K$82,2,FALSE)))</f>
        <v>#N/A</v>
      </c>
      <c r="R18" s="738"/>
      <c r="S18" s="659"/>
      <c r="T18" s="113">
        <f t="shared" si="1"/>
        <v>1</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f t="shared" si="183"/>
        <v>1</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f t="shared" si="26"/>
        <v>390</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f t="shared" si="46"/>
        <v>390</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f t="shared" si="71"/>
        <v>1</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f t="shared" si="101"/>
        <v>1</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f t="shared" si="141"/>
        <v>1</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1" t="s">
        <v>1790</v>
      </c>
      <c r="C19" s="1312" t="s">
        <v>864</v>
      </c>
      <c r="D19" s="1313">
        <v>1</v>
      </c>
      <c r="E19" s="1314">
        <v>8</v>
      </c>
      <c r="F19" s="1314">
        <v>391</v>
      </c>
      <c r="G19" s="1314">
        <v>718</v>
      </c>
      <c r="H19" s="1314">
        <v>906</v>
      </c>
      <c r="I19" s="1314">
        <v>56</v>
      </c>
      <c r="J19" s="1315" t="s">
        <v>3989</v>
      </c>
      <c r="K19" s="227">
        <f t="shared" si="172"/>
        <v>850</v>
      </c>
      <c r="L19" s="227">
        <f t="shared" si="0"/>
        <v>6800</v>
      </c>
      <c r="M19" s="1316" t="s">
        <v>3925</v>
      </c>
      <c r="N19" s="1316" t="s">
        <v>3990</v>
      </c>
      <c r="O19" s="1316" t="s">
        <v>3991</v>
      </c>
      <c r="P19" s="581">
        <f t="shared" si="203"/>
        <v>36240</v>
      </c>
      <c r="Q19" s="582" t="e">
        <f>IF(H19="","",P19/($P$6*VLOOKUP(C19,'DCA Underwriting Assumptions'!$J$77:$K$82,2,FALSE)))</f>
        <v>#N/A</v>
      </c>
      <c r="R19" s="738"/>
      <c r="S19" s="659"/>
      <c r="T19" s="113">
        <f t="shared" si="1"/>
        <v>8</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f t="shared" si="183"/>
        <v>8</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f t="shared" si="26"/>
        <v>3128</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f t="shared" si="46"/>
        <v>3128</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f t="shared" si="71"/>
        <v>8</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f t="shared" si="101"/>
        <v>8</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f t="shared" si="141"/>
        <v>8</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1" t="s">
        <v>1790</v>
      </c>
      <c r="C20" s="1312" t="s">
        <v>864</v>
      </c>
      <c r="D20" s="1313">
        <v>1</v>
      </c>
      <c r="E20" s="1314">
        <v>8</v>
      </c>
      <c r="F20" s="1314">
        <v>395</v>
      </c>
      <c r="G20" s="1314">
        <v>718</v>
      </c>
      <c r="H20" s="1314">
        <v>906</v>
      </c>
      <c r="I20" s="1314">
        <v>56</v>
      </c>
      <c r="J20" s="1315" t="s">
        <v>3989</v>
      </c>
      <c r="K20" s="227">
        <f t="shared" si="172"/>
        <v>850</v>
      </c>
      <c r="L20" s="227">
        <f t="shared" si="0"/>
        <v>6800</v>
      </c>
      <c r="M20" s="1316" t="s">
        <v>3925</v>
      </c>
      <c r="N20" s="1316" t="s">
        <v>3990</v>
      </c>
      <c r="O20" s="1316" t="s">
        <v>3991</v>
      </c>
      <c r="P20" s="581">
        <f t="shared" si="203"/>
        <v>36240</v>
      </c>
      <c r="Q20" s="582" t="e">
        <f>IF(H20="","",P20/($P$6*VLOOKUP(C20,'DCA Underwriting Assumptions'!$J$77:$K$82,2,FALSE)))</f>
        <v>#N/A</v>
      </c>
      <c r="R20" s="738"/>
      <c r="S20" s="659"/>
      <c r="T20" s="113">
        <f t="shared" si="1"/>
        <v>8</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f t="shared" si="183"/>
        <v>8</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f t="shared" si="26"/>
        <v>3160</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f t="shared" si="46"/>
        <v>3160</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f t="shared" si="71"/>
        <v>8</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f t="shared" si="101"/>
        <v>8</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f t="shared" si="141"/>
        <v>8</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1" t="s">
        <v>1790</v>
      </c>
      <c r="C21" s="1312" t="s">
        <v>864</v>
      </c>
      <c r="D21" s="1313">
        <v>1</v>
      </c>
      <c r="E21" s="1314">
        <v>8</v>
      </c>
      <c r="F21" s="1314">
        <v>400</v>
      </c>
      <c r="G21" s="1314">
        <v>718</v>
      </c>
      <c r="H21" s="1314">
        <v>906</v>
      </c>
      <c r="I21" s="1314">
        <v>56</v>
      </c>
      <c r="J21" s="1315" t="s">
        <v>3989</v>
      </c>
      <c r="K21" s="227">
        <f t="shared" si="172"/>
        <v>850</v>
      </c>
      <c r="L21" s="227">
        <f t="shared" si="0"/>
        <v>6800</v>
      </c>
      <c r="M21" s="1316" t="s">
        <v>3925</v>
      </c>
      <c r="N21" s="1316" t="s">
        <v>3990</v>
      </c>
      <c r="O21" s="1316" t="s">
        <v>3991</v>
      </c>
      <c r="P21" s="581">
        <f t="shared" si="203"/>
        <v>36240</v>
      </c>
      <c r="Q21" s="582" t="e">
        <f>IF(H21="","",P21/($P$6*VLOOKUP(C21,'DCA Underwriting Assumptions'!$J$77:$K$82,2,FALSE)))</f>
        <v>#N/A</v>
      </c>
      <c r="R21" s="738"/>
      <c r="S21" s="659"/>
      <c r="T21" s="113">
        <f t="shared" si="1"/>
        <v>8</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f t="shared" si="183"/>
        <v>8</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f t="shared" si="26"/>
        <v>3200</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f t="shared" si="46"/>
        <v>3200</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f t="shared" si="71"/>
        <v>8</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f t="shared" si="101"/>
        <v>8</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f t="shared" si="141"/>
        <v>8</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1" t="s">
        <v>1790</v>
      </c>
      <c r="C22" s="1312" t="s">
        <v>864</v>
      </c>
      <c r="D22" s="1313">
        <v>1</v>
      </c>
      <c r="E22" s="1314">
        <v>1</v>
      </c>
      <c r="F22" s="1314">
        <v>426</v>
      </c>
      <c r="G22" s="1314">
        <v>718</v>
      </c>
      <c r="H22" s="1314">
        <v>906</v>
      </c>
      <c r="I22" s="1314">
        <v>56</v>
      </c>
      <c r="J22" s="1315" t="s">
        <v>3989</v>
      </c>
      <c r="K22" s="227">
        <f t="shared" si="172"/>
        <v>850</v>
      </c>
      <c r="L22" s="227">
        <f t="shared" si="0"/>
        <v>850</v>
      </c>
      <c r="M22" s="1316" t="s">
        <v>3925</v>
      </c>
      <c r="N22" s="1316" t="s">
        <v>3990</v>
      </c>
      <c r="O22" s="1316" t="s">
        <v>3991</v>
      </c>
      <c r="P22" s="581">
        <f t="shared" si="203"/>
        <v>36240</v>
      </c>
      <c r="Q22" s="582" t="e">
        <f>IF(H22="","",P22/($P$6*VLOOKUP(C22,'DCA Underwriting Assumptions'!$J$77:$K$82,2,FALSE)))</f>
        <v>#N/A</v>
      </c>
      <c r="R22" s="738"/>
      <c r="S22" s="659"/>
      <c r="T22" s="113">
        <f t="shared" si="1"/>
        <v>1</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f t="shared" si="183"/>
        <v>1</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f t="shared" si="26"/>
        <v>426</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f t="shared" si="46"/>
        <v>426</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f t="shared" si="71"/>
        <v>1</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f t="shared" si="101"/>
        <v>1</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f t="shared" si="141"/>
        <v>1</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1" t="s">
        <v>1790</v>
      </c>
      <c r="C23" s="1312" t="s">
        <v>864</v>
      </c>
      <c r="D23" s="1313">
        <v>1</v>
      </c>
      <c r="E23" s="1314">
        <v>8</v>
      </c>
      <c r="F23" s="1314">
        <v>429</v>
      </c>
      <c r="G23" s="1314">
        <v>718</v>
      </c>
      <c r="H23" s="1314">
        <v>906</v>
      </c>
      <c r="I23" s="1314">
        <v>56</v>
      </c>
      <c r="J23" s="1315" t="s">
        <v>3989</v>
      </c>
      <c r="K23" s="227">
        <f t="shared" si="172"/>
        <v>850</v>
      </c>
      <c r="L23" s="227">
        <f t="shared" si="0"/>
        <v>6800</v>
      </c>
      <c r="M23" s="1316" t="s">
        <v>3925</v>
      </c>
      <c r="N23" s="1316" t="s">
        <v>3990</v>
      </c>
      <c r="O23" s="1316" t="s">
        <v>3991</v>
      </c>
      <c r="P23" s="581">
        <f t="shared" si="203"/>
        <v>36240</v>
      </c>
      <c r="Q23" s="582" t="e">
        <f>IF(H23="","",P23/($P$6*VLOOKUP(C23,'DCA Underwriting Assumptions'!$J$77:$K$82,2,FALSE)))</f>
        <v>#N/A</v>
      </c>
      <c r="R23" s="738"/>
      <c r="S23" s="659"/>
      <c r="T23" s="113">
        <f t="shared" si="1"/>
        <v>8</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f t="shared" si="183"/>
        <v>8</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f t="shared" si="26"/>
        <v>3432</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f t="shared" si="46"/>
        <v>3432</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f t="shared" si="71"/>
        <v>8</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f t="shared" si="101"/>
        <v>8</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f t="shared" si="141"/>
        <v>8</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1" t="s">
        <v>1790</v>
      </c>
      <c r="C24" s="1312" t="s">
        <v>864</v>
      </c>
      <c r="D24" s="1313">
        <v>1</v>
      </c>
      <c r="E24" s="1314">
        <v>8</v>
      </c>
      <c r="F24" s="1314">
        <v>432</v>
      </c>
      <c r="G24" s="1314">
        <v>718</v>
      </c>
      <c r="H24" s="1314">
        <v>906</v>
      </c>
      <c r="I24" s="1314">
        <v>56</v>
      </c>
      <c r="J24" s="1315" t="s">
        <v>3989</v>
      </c>
      <c r="K24" s="227">
        <f t="shared" si="172"/>
        <v>850</v>
      </c>
      <c r="L24" s="227">
        <f t="shared" si="0"/>
        <v>6800</v>
      </c>
      <c r="M24" s="1316" t="s">
        <v>3925</v>
      </c>
      <c r="N24" s="1316" t="s">
        <v>3990</v>
      </c>
      <c r="O24" s="1316" t="s">
        <v>3991</v>
      </c>
      <c r="P24" s="581">
        <f t="shared" si="203"/>
        <v>36240</v>
      </c>
      <c r="Q24" s="582" t="e">
        <f>IF(H24="","",P24/($P$6*VLOOKUP(C24,'DCA Underwriting Assumptions'!$J$77:$K$82,2,FALSE)))</f>
        <v>#N/A</v>
      </c>
      <c r="R24" s="738"/>
      <c r="S24" s="659"/>
      <c r="T24" s="113">
        <f t="shared" si="1"/>
        <v>8</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f t="shared" si="183"/>
        <v>8</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f t="shared" si="26"/>
        <v>3456</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f t="shared" si="46"/>
        <v>3456</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f t="shared" si="71"/>
        <v>8</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f t="shared" si="101"/>
        <v>8</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f t="shared" si="141"/>
        <v>8</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1" t="s">
        <v>1790</v>
      </c>
      <c r="C25" s="1312" t="s">
        <v>864</v>
      </c>
      <c r="D25" s="1313">
        <v>1</v>
      </c>
      <c r="E25" s="1314">
        <v>1</v>
      </c>
      <c r="F25" s="1314">
        <v>436</v>
      </c>
      <c r="G25" s="1314">
        <v>718</v>
      </c>
      <c r="H25" s="1314">
        <v>906</v>
      </c>
      <c r="I25" s="1314">
        <v>56</v>
      </c>
      <c r="J25" s="1315" t="s">
        <v>3989</v>
      </c>
      <c r="K25" s="227">
        <f t="shared" si="172"/>
        <v>850</v>
      </c>
      <c r="L25" s="227">
        <f t="shared" si="0"/>
        <v>850</v>
      </c>
      <c r="M25" s="1316" t="s">
        <v>3925</v>
      </c>
      <c r="N25" s="1316" t="s">
        <v>3990</v>
      </c>
      <c r="O25" s="1316" t="s">
        <v>3991</v>
      </c>
      <c r="P25" s="581">
        <f t="shared" si="203"/>
        <v>36240</v>
      </c>
      <c r="Q25" s="582" t="e">
        <f>IF(H25="","",P25/($P$6*VLOOKUP(C25,'DCA Underwriting Assumptions'!$J$77:$K$82,2,FALSE)))</f>
        <v>#N/A</v>
      </c>
      <c r="R25" s="738"/>
      <c r="S25" s="659"/>
      <c r="T25" s="113">
        <f t="shared" si="1"/>
        <v>1</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f t="shared" si="183"/>
        <v>1</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f t="shared" si="26"/>
        <v>436</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f t="shared" si="46"/>
        <v>436</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f t="shared" si="71"/>
        <v>1</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f t="shared" si="101"/>
        <v>1</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f t="shared" si="141"/>
        <v>1</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1" t="s">
        <v>1790</v>
      </c>
      <c r="C26" s="1312" t="s">
        <v>864</v>
      </c>
      <c r="D26" s="1313">
        <v>1</v>
      </c>
      <c r="E26" s="1314">
        <v>8</v>
      </c>
      <c r="F26" s="1314">
        <v>458</v>
      </c>
      <c r="G26" s="1314">
        <v>718</v>
      </c>
      <c r="H26" s="1314">
        <v>906</v>
      </c>
      <c r="I26" s="1314">
        <v>56</v>
      </c>
      <c r="J26" s="1315" t="s">
        <v>3989</v>
      </c>
      <c r="K26" s="227">
        <f t="shared" si="172"/>
        <v>850</v>
      </c>
      <c r="L26" s="227">
        <f t="shared" si="0"/>
        <v>6800</v>
      </c>
      <c r="M26" s="1316" t="s">
        <v>3925</v>
      </c>
      <c r="N26" s="1316" t="s">
        <v>3990</v>
      </c>
      <c r="O26" s="1316" t="s">
        <v>3991</v>
      </c>
      <c r="P26" s="581">
        <f t="shared" si="203"/>
        <v>36240</v>
      </c>
      <c r="Q26" s="582" t="e">
        <f>IF(H26="","",P26/($P$6*VLOOKUP(C26,'DCA Underwriting Assumptions'!$J$77:$K$82,2,FALSE)))</f>
        <v>#N/A</v>
      </c>
      <c r="R26" s="738"/>
      <c r="S26" s="659"/>
      <c r="T26" s="113">
        <f t="shared" si="1"/>
        <v>8</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f t="shared" si="183"/>
        <v>8</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f t="shared" si="26"/>
        <v>3664</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f t="shared" si="46"/>
        <v>3664</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f t="shared" si="71"/>
        <v>8</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f t="shared" si="101"/>
        <v>8</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f t="shared" si="141"/>
        <v>8</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1" t="s">
        <v>1790</v>
      </c>
      <c r="C27" s="1312">
        <v>1</v>
      </c>
      <c r="D27" s="1313">
        <v>1</v>
      </c>
      <c r="E27" s="1314">
        <v>1</v>
      </c>
      <c r="F27" s="1314">
        <v>552</v>
      </c>
      <c r="G27" s="1314">
        <v>769</v>
      </c>
      <c r="H27" s="1314">
        <v>1031</v>
      </c>
      <c r="I27" s="1314">
        <v>56</v>
      </c>
      <c r="J27" s="1315" t="s">
        <v>3989</v>
      </c>
      <c r="K27" s="227">
        <f t="shared" si="172"/>
        <v>975</v>
      </c>
      <c r="L27" s="227">
        <f t="shared" si="0"/>
        <v>975</v>
      </c>
      <c r="M27" s="1316" t="s">
        <v>3925</v>
      </c>
      <c r="N27" s="1316" t="s">
        <v>3990</v>
      </c>
      <c r="O27" s="1316" t="s">
        <v>3991</v>
      </c>
      <c r="P27" s="581">
        <f t="shared" si="203"/>
        <v>41240</v>
      </c>
      <c r="Q27" s="582">
        <f>IF(H27="","",P27/($P$6*VLOOKUP(C27,'DCA Underwriting Assumptions'!$J$77:$K$82,2,FALSE)))</f>
        <v>0.76583101207056636</v>
      </c>
      <c r="R27" s="738"/>
      <c r="S27" s="659"/>
      <c r="T27" s="113" t="str">
        <f t="shared" si="1"/>
        <v/>
      </c>
      <c r="U27" s="113">
        <f t="shared" si="2"/>
        <v>1</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f t="shared" si="184"/>
        <v>1</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f t="shared" si="27"/>
        <v>552</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f t="shared" si="47"/>
        <v>552</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f t="shared" si="72"/>
        <v>1</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f t="shared" si="102"/>
        <v>1</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f t="shared" si="142"/>
        <v>1</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1" t="s">
        <v>1790</v>
      </c>
      <c r="C28" s="1312">
        <v>1</v>
      </c>
      <c r="D28" s="1313">
        <v>1</v>
      </c>
      <c r="E28" s="1314">
        <v>9</v>
      </c>
      <c r="F28" s="1314">
        <v>565</v>
      </c>
      <c r="G28" s="1314">
        <v>769</v>
      </c>
      <c r="H28" s="1314">
        <v>1031</v>
      </c>
      <c r="I28" s="1314">
        <v>56</v>
      </c>
      <c r="J28" s="1315" t="s">
        <v>3989</v>
      </c>
      <c r="K28" s="227">
        <f>MAX(0,H28-I28)</f>
        <v>975</v>
      </c>
      <c r="L28" s="227">
        <f t="shared" si="0"/>
        <v>8775</v>
      </c>
      <c r="M28" s="1316" t="s">
        <v>3925</v>
      </c>
      <c r="N28" s="1316" t="s">
        <v>3990</v>
      </c>
      <c r="O28" s="1316" t="s">
        <v>3991</v>
      </c>
      <c r="P28" s="581">
        <f t="shared" si="203"/>
        <v>41240</v>
      </c>
      <c r="Q28" s="582">
        <f>IF(H28="","",P28/($P$6*VLOOKUP(C28,'DCA Underwriting Assumptions'!$J$77:$K$82,2,FALSE)))</f>
        <v>0.76583101207056636</v>
      </c>
      <c r="R28" s="738"/>
      <c r="S28" s="659"/>
      <c r="T28" s="113" t="str">
        <f t="shared" si="1"/>
        <v/>
      </c>
      <c r="U28" s="113">
        <f t="shared" si="2"/>
        <v>9</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f t="shared" si="184"/>
        <v>9</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f t="shared" si="27"/>
        <v>5085</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f t="shared" si="47"/>
        <v>5085</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f t="shared" si="72"/>
        <v>9</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f t="shared" si="102"/>
        <v>9</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f t="shared" si="142"/>
        <v>9</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1" t="s">
        <v>1790</v>
      </c>
      <c r="C29" s="1312">
        <v>1</v>
      </c>
      <c r="D29" s="1313">
        <v>1</v>
      </c>
      <c r="E29" s="1314">
        <v>8</v>
      </c>
      <c r="F29" s="1314">
        <v>573</v>
      </c>
      <c r="G29" s="1314">
        <v>769</v>
      </c>
      <c r="H29" s="1314">
        <v>1031</v>
      </c>
      <c r="I29" s="1314">
        <v>56</v>
      </c>
      <c r="J29" s="1315" t="s">
        <v>3989</v>
      </c>
      <c r="K29" s="227">
        <f t="shared" ref="K29:K47" si="204">MAX(0,H29-I29)</f>
        <v>975</v>
      </c>
      <c r="L29" s="227">
        <f t="shared" si="0"/>
        <v>7800</v>
      </c>
      <c r="M29" s="1316" t="s">
        <v>3925</v>
      </c>
      <c r="N29" s="1316" t="s">
        <v>3990</v>
      </c>
      <c r="O29" s="1316" t="s">
        <v>3991</v>
      </c>
      <c r="P29" s="581">
        <f t="shared" si="203"/>
        <v>41240</v>
      </c>
      <c r="Q29" s="582">
        <f>IF(H29="","",P29/($P$6*VLOOKUP(C29,'DCA Underwriting Assumptions'!$J$77:$K$82,2,FALSE)))</f>
        <v>0.76583101207056636</v>
      </c>
      <c r="R29" s="738"/>
      <c r="S29" s="659"/>
      <c r="T29" s="113" t="str">
        <f t="shared" si="1"/>
        <v/>
      </c>
      <c r="U29" s="113">
        <f t="shared" si="2"/>
        <v>8</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f t="shared" si="184"/>
        <v>8</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f t="shared" si="27"/>
        <v>4584</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f t="shared" si="47"/>
        <v>4584</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f t="shared" si="72"/>
        <v>8</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f t="shared" si="102"/>
        <v>8</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f t="shared" si="142"/>
        <v>8</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1" t="s">
        <v>1790</v>
      </c>
      <c r="C30" s="1312">
        <v>1</v>
      </c>
      <c r="D30" s="1313">
        <v>1</v>
      </c>
      <c r="E30" s="1314">
        <v>8</v>
      </c>
      <c r="F30" s="1314">
        <v>594</v>
      </c>
      <c r="G30" s="1314">
        <v>769</v>
      </c>
      <c r="H30" s="1314">
        <v>1031</v>
      </c>
      <c r="I30" s="1314">
        <v>56</v>
      </c>
      <c r="J30" s="1315" t="s">
        <v>3989</v>
      </c>
      <c r="K30" s="227">
        <f t="shared" si="204"/>
        <v>975</v>
      </c>
      <c r="L30" s="227">
        <f t="shared" si="0"/>
        <v>7800</v>
      </c>
      <c r="M30" s="1316" t="s">
        <v>3925</v>
      </c>
      <c r="N30" s="1316" t="s">
        <v>3990</v>
      </c>
      <c r="O30" s="1316" t="s">
        <v>3991</v>
      </c>
      <c r="P30" s="581">
        <f t="shared" si="203"/>
        <v>41240</v>
      </c>
      <c r="Q30" s="582">
        <f>IF(H30="","",P30/($P$6*VLOOKUP(C30,'DCA Underwriting Assumptions'!$J$77:$K$82,2,FALSE)))</f>
        <v>0.76583101207056636</v>
      </c>
      <c r="R30" s="738"/>
      <c r="S30" s="659"/>
      <c r="T30" s="113" t="str">
        <f t="shared" si="1"/>
        <v/>
      </c>
      <c r="U30" s="113">
        <f t="shared" si="2"/>
        <v>8</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f t="shared" si="184"/>
        <v>8</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f t="shared" si="27"/>
        <v>4752</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f t="shared" si="47"/>
        <v>4752</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f t="shared" si="72"/>
        <v>8</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f t="shared" si="102"/>
        <v>8</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f t="shared" si="142"/>
        <v>8</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1" t="s">
        <v>1790</v>
      </c>
      <c r="C31" s="1312">
        <v>1</v>
      </c>
      <c r="D31" s="1313">
        <v>1</v>
      </c>
      <c r="E31" s="1314">
        <v>8</v>
      </c>
      <c r="F31" s="1314">
        <v>598</v>
      </c>
      <c r="G31" s="1314">
        <v>769</v>
      </c>
      <c r="H31" s="1314">
        <v>1031</v>
      </c>
      <c r="I31" s="1314">
        <v>56</v>
      </c>
      <c r="J31" s="1315" t="s">
        <v>3989</v>
      </c>
      <c r="K31" s="227">
        <f t="shared" si="204"/>
        <v>975</v>
      </c>
      <c r="L31" s="227">
        <f t="shared" si="0"/>
        <v>7800</v>
      </c>
      <c r="M31" s="1316" t="s">
        <v>3925</v>
      </c>
      <c r="N31" s="1316" t="s">
        <v>3990</v>
      </c>
      <c r="O31" s="1316" t="s">
        <v>3991</v>
      </c>
      <c r="P31" s="581">
        <f t="shared" si="203"/>
        <v>41240</v>
      </c>
      <c r="Q31" s="582">
        <f>IF(H31="","",P31/($P$6*VLOOKUP(C31,'DCA Underwriting Assumptions'!$J$77:$K$82,2,FALSE)))</f>
        <v>0.76583101207056636</v>
      </c>
      <c r="R31" s="738"/>
      <c r="S31" s="659"/>
      <c r="T31" s="113" t="str">
        <f t="shared" si="1"/>
        <v/>
      </c>
      <c r="U31" s="113">
        <f t="shared" si="2"/>
        <v>8</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f t="shared" si="184"/>
        <v>8</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f t="shared" si="27"/>
        <v>4784</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f t="shared" si="47"/>
        <v>4784</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f t="shared" si="72"/>
        <v>8</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f t="shared" si="102"/>
        <v>8</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f t="shared" si="142"/>
        <v>8</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1" t="s">
        <v>1790</v>
      </c>
      <c r="C32" s="1312">
        <v>1</v>
      </c>
      <c r="D32" s="1313">
        <v>1</v>
      </c>
      <c r="E32" s="1314">
        <v>1</v>
      </c>
      <c r="F32" s="1314">
        <v>599</v>
      </c>
      <c r="G32" s="1314">
        <v>769</v>
      </c>
      <c r="H32" s="1314">
        <v>1031</v>
      </c>
      <c r="I32" s="1314">
        <v>56</v>
      </c>
      <c r="J32" s="1315" t="s">
        <v>3989</v>
      </c>
      <c r="K32" s="227">
        <f t="shared" si="204"/>
        <v>975</v>
      </c>
      <c r="L32" s="227">
        <f t="shared" si="0"/>
        <v>975</v>
      </c>
      <c r="M32" s="1316" t="s">
        <v>3925</v>
      </c>
      <c r="N32" s="1316" t="s">
        <v>3990</v>
      </c>
      <c r="O32" s="1316" t="s">
        <v>3991</v>
      </c>
      <c r="P32" s="581">
        <f t="shared" si="203"/>
        <v>41240</v>
      </c>
      <c r="Q32" s="582">
        <f>IF(H32="","",P32/($P$6*VLOOKUP(C32,'DCA Underwriting Assumptions'!$J$77:$K$82,2,FALSE)))</f>
        <v>0.76583101207056636</v>
      </c>
      <c r="R32" s="738"/>
      <c r="S32" s="659"/>
      <c r="T32" s="113" t="str">
        <f t="shared" si="1"/>
        <v/>
      </c>
      <c r="U32" s="113">
        <f t="shared" si="2"/>
        <v>1</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f t="shared" si="184"/>
        <v>1</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f t="shared" si="27"/>
        <v>599</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f t="shared" si="47"/>
        <v>599</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f t="shared" si="72"/>
        <v>1</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f t="shared" si="102"/>
        <v>1</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f t="shared" si="142"/>
        <v>1</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1" t="s">
        <v>1790</v>
      </c>
      <c r="C33" s="1312">
        <v>1</v>
      </c>
      <c r="D33" s="1313">
        <v>1</v>
      </c>
      <c r="E33" s="1314">
        <v>1</v>
      </c>
      <c r="F33" s="1314">
        <v>600</v>
      </c>
      <c r="G33" s="1314">
        <v>769</v>
      </c>
      <c r="H33" s="1314">
        <v>1031</v>
      </c>
      <c r="I33" s="1314">
        <v>56</v>
      </c>
      <c r="J33" s="1315" t="s">
        <v>3989</v>
      </c>
      <c r="K33" s="227">
        <f t="shared" si="204"/>
        <v>975</v>
      </c>
      <c r="L33" s="227">
        <f t="shared" si="0"/>
        <v>975</v>
      </c>
      <c r="M33" s="1316" t="s">
        <v>3925</v>
      </c>
      <c r="N33" s="1316" t="s">
        <v>3990</v>
      </c>
      <c r="O33" s="1316" t="s">
        <v>3991</v>
      </c>
      <c r="P33" s="581">
        <f t="shared" si="203"/>
        <v>41240</v>
      </c>
      <c r="Q33" s="582">
        <f>IF(H33="","",P33/($P$6*VLOOKUP(C33,'DCA Underwriting Assumptions'!$J$77:$K$82,2,FALSE)))</f>
        <v>0.76583101207056636</v>
      </c>
      <c r="R33" s="738"/>
      <c r="S33" s="659"/>
      <c r="T33" s="113" t="str">
        <f t="shared" si="1"/>
        <v/>
      </c>
      <c r="U33" s="113">
        <f t="shared" si="2"/>
        <v>1</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f t="shared" si="184"/>
        <v>1</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f t="shared" si="27"/>
        <v>600</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f t="shared" si="47"/>
        <v>600</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f t="shared" si="72"/>
        <v>1</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f t="shared" si="102"/>
        <v>1</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f t="shared" si="142"/>
        <v>1</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1" t="s">
        <v>1790</v>
      </c>
      <c r="C34" s="1312">
        <v>1</v>
      </c>
      <c r="D34" s="1313">
        <v>1</v>
      </c>
      <c r="E34" s="1314">
        <v>8</v>
      </c>
      <c r="F34" s="1314">
        <v>626</v>
      </c>
      <c r="G34" s="1314">
        <v>769</v>
      </c>
      <c r="H34" s="1314">
        <v>1031</v>
      </c>
      <c r="I34" s="1314">
        <v>56</v>
      </c>
      <c r="J34" s="1315" t="s">
        <v>3989</v>
      </c>
      <c r="K34" s="227">
        <f t="shared" si="204"/>
        <v>975</v>
      </c>
      <c r="L34" s="227">
        <f t="shared" si="0"/>
        <v>7800</v>
      </c>
      <c r="M34" s="1316" t="s">
        <v>3925</v>
      </c>
      <c r="N34" s="1316" t="s">
        <v>3990</v>
      </c>
      <c r="O34" s="1316" t="s">
        <v>3991</v>
      </c>
      <c r="P34" s="581">
        <f t="shared" si="203"/>
        <v>41240</v>
      </c>
      <c r="Q34" s="582">
        <f>IF(H34="","",P34/($P$6*VLOOKUP(C34,'DCA Underwriting Assumptions'!$J$77:$K$82,2,FALSE)))</f>
        <v>0.76583101207056636</v>
      </c>
      <c r="R34" s="738"/>
      <c r="S34" s="659"/>
      <c r="T34" s="113" t="str">
        <f t="shared" si="1"/>
        <v/>
      </c>
      <c r="U34" s="113">
        <f t="shared" si="2"/>
        <v>8</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f t="shared" si="184"/>
        <v>8</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f t="shared" si="27"/>
        <v>5008</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f t="shared" si="47"/>
        <v>5008</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f t="shared" si="72"/>
        <v>8</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f t="shared" si="102"/>
        <v>8</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f t="shared" si="142"/>
        <v>8</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1" t="s">
        <v>1790</v>
      </c>
      <c r="C35" s="1312">
        <v>1</v>
      </c>
      <c r="D35" s="1313">
        <v>1</v>
      </c>
      <c r="E35" s="1314">
        <v>7</v>
      </c>
      <c r="F35" s="1314">
        <v>628</v>
      </c>
      <c r="G35" s="1314">
        <v>769</v>
      </c>
      <c r="H35" s="1314">
        <v>1031</v>
      </c>
      <c r="I35" s="1314">
        <v>56</v>
      </c>
      <c r="J35" s="1315" t="s">
        <v>3989</v>
      </c>
      <c r="K35" s="227">
        <f t="shared" si="204"/>
        <v>975</v>
      </c>
      <c r="L35" s="227">
        <f t="shared" si="0"/>
        <v>6825</v>
      </c>
      <c r="M35" s="1316" t="s">
        <v>3925</v>
      </c>
      <c r="N35" s="1316" t="s">
        <v>3990</v>
      </c>
      <c r="O35" s="1316" t="s">
        <v>3991</v>
      </c>
      <c r="P35" s="581">
        <f t="shared" si="203"/>
        <v>41240</v>
      </c>
      <c r="Q35" s="582">
        <f>IF(H35="","",P35/($P$6*VLOOKUP(C35,'DCA Underwriting Assumptions'!$J$77:$K$82,2,FALSE)))</f>
        <v>0.76583101207056636</v>
      </c>
      <c r="R35" s="738"/>
      <c r="S35" s="659"/>
      <c r="T35" s="113" t="str">
        <f t="shared" si="1"/>
        <v/>
      </c>
      <c r="U35" s="113">
        <f t="shared" si="2"/>
        <v>7</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f t="shared" si="184"/>
        <v>7</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f t="shared" si="27"/>
        <v>4396</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f t="shared" si="47"/>
        <v>4396</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f t="shared" si="72"/>
        <v>7</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f t="shared" si="102"/>
        <v>7</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f t="shared" si="142"/>
        <v>7</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1" t="s">
        <v>1790</v>
      </c>
      <c r="C36" s="1312">
        <v>1</v>
      </c>
      <c r="D36" s="1313">
        <v>1</v>
      </c>
      <c r="E36" s="1314">
        <v>8</v>
      </c>
      <c r="F36" s="1314">
        <v>629</v>
      </c>
      <c r="G36" s="1314">
        <v>769</v>
      </c>
      <c r="H36" s="1314">
        <v>1031</v>
      </c>
      <c r="I36" s="1314">
        <v>56</v>
      </c>
      <c r="J36" s="1315" t="s">
        <v>3989</v>
      </c>
      <c r="K36" s="227">
        <f t="shared" si="204"/>
        <v>975</v>
      </c>
      <c r="L36" s="227">
        <f t="shared" si="0"/>
        <v>7800</v>
      </c>
      <c r="M36" s="1316" t="s">
        <v>3925</v>
      </c>
      <c r="N36" s="1316" t="s">
        <v>3990</v>
      </c>
      <c r="O36" s="1316" t="s">
        <v>3991</v>
      </c>
      <c r="P36" s="581">
        <f t="shared" si="203"/>
        <v>41240</v>
      </c>
      <c r="Q36" s="582">
        <f>IF(H36="","",P36/($P$6*VLOOKUP(C36,'DCA Underwriting Assumptions'!$J$77:$K$82,2,FALSE)))</f>
        <v>0.76583101207056636</v>
      </c>
      <c r="R36" s="738"/>
      <c r="S36" s="659"/>
      <c r="T36" s="113" t="str">
        <f t="shared" si="1"/>
        <v/>
      </c>
      <c r="U36" s="113">
        <f t="shared" si="2"/>
        <v>8</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f t="shared" si="184"/>
        <v>8</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f t="shared" si="27"/>
        <v>5032</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f t="shared" si="47"/>
        <v>5032</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f t="shared" si="72"/>
        <v>8</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f t="shared" si="102"/>
        <v>8</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f t="shared" si="142"/>
        <v>8</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1" t="s">
        <v>1790</v>
      </c>
      <c r="C37" s="1312">
        <v>1</v>
      </c>
      <c r="D37" s="1313">
        <v>1</v>
      </c>
      <c r="E37" s="1314">
        <v>1</v>
      </c>
      <c r="F37" s="1314">
        <v>633</v>
      </c>
      <c r="G37" s="1314">
        <v>769</v>
      </c>
      <c r="H37" s="1314">
        <v>1031</v>
      </c>
      <c r="I37" s="1314">
        <v>56</v>
      </c>
      <c r="J37" s="1315" t="s">
        <v>3989</v>
      </c>
      <c r="K37" s="227">
        <f t="shared" si="204"/>
        <v>975</v>
      </c>
      <c r="L37" s="227">
        <f t="shared" si="0"/>
        <v>975</v>
      </c>
      <c r="M37" s="1316" t="s">
        <v>3925</v>
      </c>
      <c r="N37" s="1316" t="s">
        <v>3990</v>
      </c>
      <c r="O37" s="1316" t="s">
        <v>3991</v>
      </c>
      <c r="P37" s="581">
        <f t="shared" si="203"/>
        <v>41240</v>
      </c>
      <c r="Q37" s="582">
        <f>IF(H37="","",P37/($P$6*VLOOKUP(C37,'DCA Underwriting Assumptions'!$J$77:$K$82,2,FALSE)))</f>
        <v>0.76583101207056636</v>
      </c>
      <c r="R37" s="738"/>
      <c r="S37" s="659"/>
      <c r="T37" s="113" t="str">
        <f t="shared" si="1"/>
        <v/>
      </c>
      <c r="U37" s="113">
        <f t="shared" si="2"/>
        <v>1</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f t="shared" si="184"/>
        <v>1</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f t="shared" si="27"/>
        <v>633</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f t="shared" si="47"/>
        <v>633</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f t="shared" si="72"/>
        <v>1</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f t="shared" si="102"/>
        <v>1</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f t="shared" si="142"/>
        <v>1</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1" t="s">
        <v>1790</v>
      </c>
      <c r="C38" s="1312">
        <v>1</v>
      </c>
      <c r="D38" s="1313">
        <v>1</v>
      </c>
      <c r="E38" s="1314">
        <v>1</v>
      </c>
      <c r="F38" s="1314">
        <v>683</v>
      </c>
      <c r="G38" s="1314">
        <v>769</v>
      </c>
      <c r="H38" s="1314">
        <v>1031</v>
      </c>
      <c r="I38" s="1314">
        <v>56</v>
      </c>
      <c r="J38" s="1315" t="s">
        <v>3989</v>
      </c>
      <c r="K38" s="227">
        <f>MAX(0,H38-I38)</f>
        <v>975</v>
      </c>
      <c r="L38" s="227">
        <f t="shared" si="0"/>
        <v>975</v>
      </c>
      <c r="M38" s="1316" t="s">
        <v>3925</v>
      </c>
      <c r="N38" s="1316" t="s">
        <v>3990</v>
      </c>
      <c r="O38" s="1316" t="s">
        <v>3991</v>
      </c>
      <c r="P38" s="581">
        <f t="shared" si="203"/>
        <v>41240</v>
      </c>
      <c r="Q38" s="582">
        <f>IF(H38="","",P38/($P$6*VLOOKUP(C38,'DCA Underwriting Assumptions'!$J$77:$K$82,2,FALSE)))</f>
        <v>0.76583101207056636</v>
      </c>
      <c r="R38" s="738"/>
      <c r="S38" s="659"/>
      <c r="T38" s="113" t="str">
        <f t="shared" si="1"/>
        <v/>
      </c>
      <c r="U38" s="113">
        <f t="shared" si="2"/>
        <v>1</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f t="shared" si="184"/>
        <v>1</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f t="shared" si="27"/>
        <v>683</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f t="shared" si="47"/>
        <v>683</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f t="shared" si="72"/>
        <v>1</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f t="shared" si="102"/>
        <v>1</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f t="shared" si="142"/>
        <v>1</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1" t="s">
        <v>1790</v>
      </c>
      <c r="C39" s="1312">
        <v>1</v>
      </c>
      <c r="D39" s="1313">
        <v>1</v>
      </c>
      <c r="E39" s="1314">
        <v>1</v>
      </c>
      <c r="F39" s="1314">
        <v>688</v>
      </c>
      <c r="G39" s="1314">
        <v>769</v>
      </c>
      <c r="H39" s="1314">
        <v>1031</v>
      </c>
      <c r="I39" s="1314">
        <v>56</v>
      </c>
      <c r="J39" s="1315" t="s">
        <v>3989</v>
      </c>
      <c r="K39" s="227">
        <f t="shared" ref="K39:K46" si="205">MAX(0,H39-I39)</f>
        <v>975</v>
      </c>
      <c r="L39" s="227">
        <f t="shared" si="0"/>
        <v>975</v>
      </c>
      <c r="M39" s="1316" t="s">
        <v>3925</v>
      </c>
      <c r="N39" s="1316" t="s">
        <v>3990</v>
      </c>
      <c r="O39" s="1316" t="s">
        <v>3991</v>
      </c>
      <c r="P39" s="581">
        <f t="shared" si="203"/>
        <v>41240</v>
      </c>
      <c r="Q39" s="582">
        <f>IF(H39="","",P39/($P$6*VLOOKUP(C39,'DCA Underwriting Assumptions'!$J$77:$K$82,2,FALSE)))</f>
        <v>0.76583101207056636</v>
      </c>
      <c r="R39" s="738"/>
      <c r="S39" s="659"/>
      <c r="T39" s="113" t="str">
        <f t="shared" si="1"/>
        <v/>
      </c>
      <c r="U39" s="113">
        <f t="shared" si="2"/>
        <v>1</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f t="shared" si="184"/>
        <v>1</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f t="shared" si="27"/>
        <v>688</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f t="shared" si="47"/>
        <v>688</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f t="shared" si="72"/>
        <v>1</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f t="shared" si="102"/>
        <v>1</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f t="shared" si="142"/>
        <v>1</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1" t="s">
        <v>1790</v>
      </c>
      <c r="C40" s="1312">
        <v>1</v>
      </c>
      <c r="D40" s="1313">
        <v>1</v>
      </c>
      <c r="E40" s="1314">
        <v>8</v>
      </c>
      <c r="F40" s="1314">
        <v>689</v>
      </c>
      <c r="G40" s="1314">
        <v>769</v>
      </c>
      <c r="H40" s="1314">
        <v>1031</v>
      </c>
      <c r="I40" s="1314">
        <v>56</v>
      </c>
      <c r="J40" s="1315" t="s">
        <v>3989</v>
      </c>
      <c r="K40" s="227">
        <f t="shared" si="205"/>
        <v>975</v>
      </c>
      <c r="L40" s="227">
        <f t="shared" si="0"/>
        <v>7800</v>
      </c>
      <c r="M40" s="1316" t="s">
        <v>3925</v>
      </c>
      <c r="N40" s="1316" t="s">
        <v>3990</v>
      </c>
      <c r="O40" s="1316" t="s">
        <v>3991</v>
      </c>
      <c r="P40" s="581">
        <f t="shared" si="203"/>
        <v>41240</v>
      </c>
      <c r="Q40" s="582">
        <f>IF(H40="","",P40/($P$6*VLOOKUP(C40,'DCA Underwriting Assumptions'!$J$77:$K$82,2,FALSE)))</f>
        <v>0.76583101207056636</v>
      </c>
      <c r="R40" s="738"/>
      <c r="S40" s="659"/>
      <c r="T40" s="113" t="str">
        <f t="shared" si="1"/>
        <v/>
      </c>
      <c r="U40" s="113">
        <f t="shared" si="2"/>
        <v>8</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f t="shared" si="184"/>
        <v>8</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f t="shared" si="27"/>
        <v>5512</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f t="shared" si="47"/>
        <v>5512</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f t="shared" si="72"/>
        <v>8</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f t="shared" si="102"/>
        <v>8</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f t="shared" si="142"/>
        <v>8</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1" t="s">
        <v>1790</v>
      </c>
      <c r="C41" s="1312">
        <v>1</v>
      </c>
      <c r="D41" s="1313">
        <v>1</v>
      </c>
      <c r="E41" s="1314">
        <v>2</v>
      </c>
      <c r="F41" s="1314">
        <v>695</v>
      </c>
      <c r="G41" s="1314">
        <v>769</v>
      </c>
      <c r="H41" s="1314">
        <v>1031</v>
      </c>
      <c r="I41" s="1314">
        <v>56</v>
      </c>
      <c r="J41" s="1315" t="s">
        <v>3989</v>
      </c>
      <c r="K41" s="227">
        <f t="shared" si="205"/>
        <v>975</v>
      </c>
      <c r="L41" s="227">
        <f t="shared" si="0"/>
        <v>1950</v>
      </c>
      <c r="M41" s="1316" t="s">
        <v>3925</v>
      </c>
      <c r="N41" s="1316" t="s">
        <v>3990</v>
      </c>
      <c r="O41" s="1316" t="s">
        <v>3991</v>
      </c>
      <c r="P41" s="581">
        <f t="shared" si="203"/>
        <v>41240</v>
      </c>
      <c r="Q41" s="582">
        <f>IF(H41="","",P41/($P$6*VLOOKUP(C41,'DCA Underwriting Assumptions'!$J$77:$K$82,2,FALSE)))</f>
        <v>0.76583101207056636</v>
      </c>
      <c r="R41" s="738"/>
      <c r="S41" s="659"/>
      <c r="T41" s="113" t="str">
        <f t="shared" si="1"/>
        <v/>
      </c>
      <c r="U41" s="113">
        <f t="shared" si="2"/>
        <v>2</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f t="shared" si="184"/>
        <v>2</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f t="shared" si="27"/>
        <v>1390</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f t="shared" si="47"/>
        <v>1390</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f t="shared" si="72"/>
        <v>2</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f t="shared" si="102"/>
        <v>2</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f t="shared" si="142"/>
        <v>2</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1" t="s">
        <v>1790</v>
      </c>
      <c r="C42" s="1312">
        <v>2</v>
      </c>
      <c r="D42" s="1313">
        <v>1</v>
      </c>
      <c r="E42" s="1314">
        <v>8</v>
      </c>
      <c r="F42" s="1314">
        <v>700</v>
      </c>
      <c r="G42" s="1314">
        <v>922</v>
      </c>
      <c r="H42" s="1314">
        <v>1152</v>
      </c>
      <c r="I42" s="1314">
        <v>77</v>
      </c>
      <c r="J42" s="1315" t="s">
        <v>3989</v>
      </c>
      <c r="K42" s="227">
        <f t="shared" si="205"/>
        <v>1075</v>
      </c>
      <c r="L42" s="227">
        <f t="shared" si="0"/>
        <v>8600</v>
      </c>
      <c r="M42" s="1316" t="s">
        <v>3925</v>
      </c>
      <c r="N42" s="1316" t="s">
        <v>3990</v>
      </c>
      <c r="O42" s="1316" t="s">
        <v>3991</v>
      </c>
      <c r="P42" s="581">
        <f t="shared" si="203"/>
        <v>46080</v>
      </c>
      <c r="Q42" s="582">
        <f>IF(H42="","",P42/($P$6*VLOOKUP(C42,'DCA Underwriting Assumptions'!$J$77:$K$82,2,FALSE)))</f>
        <v>0.71309192200557103</v>
      </c>
      <c r="R42" s="738"/>
      <c r="S42" s="659"/>
      <c r="T42" s="113" t="str">
        <f t="shared" si="1"/>
        <v/>
      </c>
      <c r="U42" s="113" t="str">
        <f t="shared" si="2"/>
        <v/>
      </c>
      <c r="V42" s="113">
        <f t="shared" si="3"/>
        <v>8</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f t="shared" si="185"/>
        <v>8</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f t="shared" si="28"/>
        <v>5600</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f t="shared" si="48"/>
        <v>5600</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f t="shared" si="73"/>
        <v>8</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f t="shared" si="103"/>
        <v>8</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f t="shared" si="143"/>
        <v>8</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1" t="s">
        <v>1790</v>
      </c>
      <c r="C43" s="1312">
        <v>2</v>
      </c>
      <c r="D43" s="1313">
        <v>1</v>
      </c>
      <c r="E43" s="1314">
        <v>1</v>
      </c>
      <c r="F43" s="1314">
        <v>708</v>
      </c>
      <c r="G43" s="1314">
        <v>922</v>
      </c>
      <c r="H43" s="1314">
        <v>1152</v>
      </c>
      <c r="I43" s="1314">
        <v>77</v>
      </c>
      <c r="J43" s="1315" t="s">
        <v>3989</v>
      </c>
      <c r="K43" s="227">
        <f t="shared" si="205"/>
        <v>1075</v>
      </c>
      <c r="L43" s="227">
        <f t="shared" si="0"/>
        <v>1075</v>
      </c>
      <c r="M43" s="1316" t="s">
        <v>3925</v>
      </c>
      <c r="N43" s="1316" t="s">
        <v>3990</v>
      </c>
      <c r="O43" s="1316" t="s">
        <v>3991</v>
      </c>
      <c r="P43" s="581">
        <f t="shared" si="203"/>
        <v>46080</v>
      </c>
      <c r="Q43" s="582">
        <f>IF(H43="","",P43/($P$6*VLOOKUP(C43,'DCA Underwriting Assumptions'!$J$77:$K$82,2,FALSE)))</f>
        <v>0.71309192200557103</v>
      </c>
      <c r="R43" s="738"/>
      <c r="S43" s="659"/>
      <c r="T43" s="113" t="str">
        <f t="shared" si="1"/>
        <v/>
      </c>
      <c r="U43" s="113" t="str">
        <f t="shared" si="2"/>
        <v/>
      </c>
      <c r="V43" s="113">
        <f t="shared" si="3"/>
        <v>1</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f t="shared" si="185"/>
        <v>1</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f t="shared" si="28"/>
        <v>708</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f t="shared" si="48"/>
        <v>708</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f t="shared" si="73"/>
        <v>1</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f t="shared" si="103"/>
        <v>1</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f t="shared" si="143"/>
        <v>1</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1" t="s">
        <v>1790</v>
      </c>
      <c r="C44" s="1312">
        <v>2</v>
      </c>
      <c r="D44" s="1313">
        <v>1</v>
      </c>
      <c r="E44" s="1314">
        <v>4</v>
      </c>
      <c r="F44" s="1314">
        <v>780</v>
      </c>
      <c r="G44" s="1314">
        <v>922</v>
      </c>
      <c r="H44" s="1314">
        <v>1152</v>
      </c>
      <c r="I44" s="1314">
        <v>77</v>
      </c>
      <c r="J44" s="1315" t="s">
        <v>3989</v>
      </c>
      <c r="K44" s="227">
        <f t="shared" si="205"/>
        <v>1075</v>
      </c>
      <c r="L44" s="227">
        <f t="shared" si="0"/>
        <v>4300</v>
      </c>
      <c r="M44" s="1316" t="s">
        <v>3925</v>
      </c>
      <c r="N44" s="1316" t="s">
        <v>3990</v>
      </c>
      <c r="O44" s="1316" t="s">
        <v>3991</v>
      </c>
      <c r="P44" s="581">
        <f t="shared" si="203"/>
        <v>46080</v>
      </c>
      <c r="Q44" s="582">
        <f>IF(H44="","",P44/($P$6*VLOOKUP(C44,'DCA Underwriting Assumptions'!$J$77:$K$82,2,FALSE)))</f>
        <v>0.71309192200557103</v>
      </c>
      <c r="R44" s="738"/>
      <c r="S44" s="659"/>
      <c r="T44" s="113" t="str">
        <f t="shared" si="1"/>
        <v/>
      </c>
      <c r="U44" s="113" t="str">
        <f t="shared" si="2"/>
        <v/>
      </c>
      <c r="V44" s="113">
        <f t="shared" si="3"/>
        <v>4</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f t="shared" si="185"/>
        <v>4</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f t="shared" si="28"/>
        <v>3120</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f t="shared" si="48"/>
        <v>3120</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f t="shared" si="73"/>
        <v>4</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f t="shared" si="103"/>
        <v>4</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f t="shared" si="143"/>
        <v>4</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1" t="s">
        <v>1790</v>
      </c>
      <c r="C45" s="1312">
        <v>2</v>
      </c>
      <c r="D45" s="1313">
        <v>1</v>
      </c>
      <c r="E45" s="1314">
        <v>1</v>
      </c>
      <c r="F45" s="1314">
        <v>783</v>
      </c>
      <c r="G45" s="1314">
        <v>922</v>
      </c>
      <c r="H45" s="1314">
        <v>1152</v>
      </c>
      <c r="I45" s="1314">
        <v>77</v>
      </c>
      <c r="J45" s="1315" t="s">
        <v>3989</v>
      </c>
      <c r="K45" s="227">
        <f t="shared" si="205"/>
        <v>1075</v>
      </c>
      <c r="L45" s="227">
        <f t="shared" si="0"/>
        <v>1075</v>
      </c>
      <c r="M45" s="1316" t="s">
        <v>3925</v>
      </c>
      <c r="N45" s="1316" t="s">
        <v>3990</v>
      </c>
      <c r="O45" s="1316" t="s">
        <v>3991</v>
      </c>
      <c r="P45" s="581">
        <f t="shared" si="203"/>
        <v>46080</v>
      </c>
      <c r="Q45" s="582">
        <f>IF(H45="","",P45/($P$6*VLOOKUP(C45,'DCA Underwriting Assumptions'!$J$77:$K$82,2,FALSE)))</f>
        <v>0.71309192200557103</v>
      </c>
      <c r="R45" s="738"/>
      <c r="S45" s="659"/>
      <c r="T45" s="113" t="str">
        <f t="shared" si="1"/>
        <v/>
      </c>
      <c r="U45" s="113" t="str">
        <f t="shared" si="2"/>
        <v/>
      </c>
      <c r="V45" s="113">
        <f t="shared" si="3"/>
        <v>1</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f t="shared" si="185"/>
        <v>1</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f t="shared" si="28"/>
        <v>783</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f t="shared" si="48"/>
        <v>783</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f t="shared" si="73"/>
        <v>1</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f t="shared" si="103"/>
        <v>1</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f t="shared" si="143"/>
        <v>1</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1" t="s">
        <v>1790</v>
      </c>
      <c r="C46" s="1312">
        <v>2</v>
      </c>
      <c r="D46" s="1313">
        <v>1</v>
      </c>
      <c r="E46" s="1314">
        <v>8</v>
      </c>
      <c r="F46" s="1314">
        <v>794</v>
      </c>
      <c r="G46" s="1314">
        <v>922</v>
      </c>
      <c r="H46" s="1314">
        <v>1152</v>
      </c>
      <c r="I46" s="1314">
        <v>77</v>
      </c>
      <c r="J46" s="1315" t="s">
        <v>3989</v>
      </c>
      <c r="K46" s="227">
        <f t="shared" si="205"/>
        <v>1075</v>
      </c>
      <c r="L46" s="227">
        <f t="shared" si="0"/>
        <v>8600</v>
      </c>
      <c r="M46" s="1316" t="s">
        <v>3925</v>
      </c>
      <c r="N46" s="1316" t="s">
        <v>3990</v>
      </c>
      <c r="O46" s="1316" t="s">
        <v>3991</v>
      </c>
      <c r="P46" s="581">
        <f t="shared" si="203"/>
        <v>46080</v>
      </c>
      <c r="Q46" s="582">
        <f>IF(H46="","",P46/($P$6*VLOOKUP(C46,'DCA Underwriting Assumptions'!$J$77:$K$82,2,FALSE)))</f>
        <v>0.71309192200557103</v>
      </c>
      <c r="R46" s="738"/>
      <c r="S46" s="659"/>
      <c r="T46" s="113" t="str">
        <f t="shared" si="1"/>
        <v/>
      </c>
      <c r="U46" s="113" t="str">
        <f t="shared" si="2"/>
        <v/>
      </c>
      <c r="V46" s="113">
        <f t="shared" si="3"/>
        <v>8</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f t="shared" si="185"/>
        <v>8</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f t="shared" si="28"/>
        <v>6352</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f t="shared" si="48"/>
        <v>6352</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f t="shared" si="73"/>
        <v>8</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f t="shared" si="103"/>
        <v>8</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f t="shared" si="143"/>
        <v>8</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f t="shared" si="171"/>
        <v>1</v>
      </c>
      <c r="B47" s="1317" t="s">
        <v>3993</v>
      </c>
      <c r="C47" s="1318">
        <v>1</v>
      </c>
      <c r="D47" s="1319">
        <v>1</v>
      </c>
      <c r="E47" s="1320">
        <v>1</v>
      </c>
      <c r="F47" s="1320"/>
      <c r="G47" s="1320"/>
      <c r="H47" s="1320">
        <v>0</v>
      </c>
      <c r="I47" s="1320">
        <v>0</v>
      </c>
      <c r="J47" s="1321" t="s">
        <v>3989</v>
      </c>
      <c r="K47" s="228">
        <f t="shared" si="204"/>
        <v>0</v>
      </c>
      <c r="L47" s="228">
        <f t="shared" si="0"/>
        <v>0</v>
      </c>
      <c r="M47" s="1322" t="s">
        <v>3992</v>
      </c>
      <c r="N47" s="1322" t="s">
        <v>3990</v>
      </c>
      <c r="O47" s="1322" t="s">
        <v>3991</v>
      </c>
      <c r="P47" s="581">
        <f t="shared" si="203"/>
        <v>0</v>
      </c>
      <c r="Q47" s="582">
        <f>IF(H47="","",P47/($P$6*VLOOKUP(C47,'DCA Underwriting Assumptions'!$J$77:$K$82,2,FALSE)))</f>
        <v>0</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f t="shared" si="22"/>
        <v>1</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f t="shared" si="52"/>
        <v>0</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f t="shared" si="82"/>
        <v>1</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f t="shared" si="102"/>
        <v>1</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f t="shared" si="142"/>
        <v>1</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1633</v>
      </c>
      <c r="E48" s="170">
        <f>SUM(E10:E47)</f>
        <v>201</v>
      </c>
      <c r="F48" s="171">
        <f>(E10*F10+E11*F11+E12*F12+E13*F13+E14*F14+E15*F15+E16*F16+E17*F17+E18*F18+E19*F19+E20*F20+E21*F21+E22*F22+E23*F23+E24*F24+E25*F25+E26*F26+E27*F27+E28*F28+E29*F29+E30*F30+E31*F31+E32*F32+E33*F33+E34*F34+E35*F35+E36*F36+E37*F37+E38*F38+E39*F39+E40*F40+E41*F41+E42*F42+E43*F43+E44*F44+E45*F45+E46*F46+E47*F47)</f>
        <v>107522</v>
      </c>
      <c r="G48" s="162"/>
      <c r="H48" s="163"/>
      <c r="I48" s="163"/>
      <c r="J48" s="163"/>
      <c r="K48" s="15" t="s">
        <v>2001</v>
      </c>
      <c r="L48" s="169">
        <f>SUM(L10:L47)</f>
        <v>186475</v>
      </c>
      <c r="M48" s="2"/>
      <c r="N48" s="42"/>
      <c r="O48" s="2"/>
      <c r="P48" s="122"/>
      <c r="Q48" s="122"/>
      <c r="R48" s="738"/>
      <c r="S48" s="446"/>
      <c r="T48" s="446">
        <f t="shared" ref="T48:CI48" si="206">SUM(T10:T47)</f>
        <v>75</v>
      </c>
      <c r="U48" s="446">
        <f t="shared" si="206"/>
        <v>72</v>
      </c>
      <c r="V48" s="446">
        <f t="shared" si="206"/>
        <v>22</v>
      </c>
      <c r="W48" s="446">
        <f t="shared" si="206"/>
        <v>0</v>
      </c>
      <c r="X48" s="446">
        <f t="shared" si="206"/>
        <v>0</v>
      </c>
      <c r="Y48" s="446">
        <f t="shared" si="206"/>
        <v>14</v>
      </c>
      <c r="Z48" s="446">
        <f t="shared" si="206"/>
        <v>13</v>
      </c>
      <c r="AA48" s="446">
        <f t="shared" si="206"/>
        <v>4</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14</v>
      </c>
      <c r="AT48" s="446">
        <f t="shared" si="206"/>
        <v>13</v>
      </c>
      <c r="AU48" s="446">
        <f t="shared" si="206"/>
        <v>4</v>
      </c>
      <c r="AV48" s="446">
        <f t="shared" si="206"/>
        <v>0</v>
      </c>
      <c r="AW48" s="446">
        <f t="shared" si="206"/>
        <v>0</v>
      </c>
      <c r="AX48" s="446">
        <f t="shared" si="206"/>
        <v>75</v>
      </c>
      <c r="AY48" s="446">
        <f t="shared" si="206"/>
        <v>72</v>
      </c>
      <c r="AZ48" s="446">
        <f t="shared" si="206"/>
        <v>22</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1</v>
      </c>
      <c r="BT48" s="446">
        <f t="shared" si="206"/>
        <v>0</v>
      </c>
      <c r="BU48" s="446">
        <f t="shared" si="206"/>
        <v>0</v>
      </c>
      <c r="BV48" s="446">
        <f t="shared" si="206"/>
        <v>0</v>
      </c>
      <c r="BW48" s="446">
        <f t="shared" si="206"/>
        <v>29396</v>
      </c>
      <c r="BX48" s="446">
        <f t="shared" si="206"/>
        <v>44298</v>
      </c>
      <c r="BY48" s="446">
        <f t="shared" si="206"/>
        <v>16563</v>
      </c>
      <c r="BZ48" s="446">
        <f t="shared" si="206"/>
        <v>0</v>
      </c>
      <c r="CA48" s="446">
        <f t="shared" si="206"/>
        <v>0</v>
      </c>
      <c r="CB48" s="446">
        <f t="shared" si="206"/>
        <v>5782</v>
      </c>
      <c r="CC48" s="446">
        <f t="shared" si="206"/>
        <v>8363</v>
      </c>
      <c r="CD48" s="446">
        <f t="shared" si="206"/>
        <v>3120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35178</v>
      </c>
      <c r="CR48" s="446">
        <f t="shared" si="208"/>
        <v>52661</v>
      </c>
      <c r="CS48" s="446">
        <f t="shared" si="208"/>
        <v>19683</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89</v>
      </c>
      <c r="DQ48" s="446">
        <f t="shared" si="208"/>
        <v>85</v>
      </c>
      <c r="DR48" s="446">
        <f t="shared" si="208"/>
        <v>26</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1</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89</v>
      </c>
      <c r="EU48" s="446">
        <f t="shared" si="209"/>
        <v>86</v>
      </c>
      <c r="EV48" s="446">
        <f t="shared" si="209"/>
        <v>26</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89</v>
      </c>
      <c r="GI48" s="446">
        <f t="shared" si="209"/>
        <v>86</v>
      </c>
      <c r="GJ48" s="446">
        <f t="shared" si="209"/>
        <v>26</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2237700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72"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73"/>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75</v>
      </c>
      <c r="I57" s="381">
        <f>U48</f>
        <v>72</v>
      </c>
      <c r="J57" s="381">
        <f>V48</f>
        <v>22</v>
      </c>
      <c r="K57" s="381">
        <f>W48</f>
        <v>0</v>
      </c>
      <c r="L57" s="381">
        <f>X48</f>
        <v>0</v>
      </c>
      <c r="M57" s="381">
        <f t="shared" ref="M57:M63" si="211">SUM(H57:L57)</f>
        <v>169</v>
      </c>
      <c r="N57" s="976" t="s">
        <v>1482</v>
      </c>
      <c r="O57" s="977"/>
      <c r="P57" s="739"/>
      <c r="Q57" s="680">
        <f t="shared" ref="Q57:Q63" si="212">ABS(M57-AD57)</f>
        <v>0</v>
      </c>
      <c r="S57" s="207"/>
      <c r="T57" s="447" t="s">
        <v>1777</v>
      </c>
      <c r="U57" s="447"/>
      <c r="V57" s="447"/>
      <c r="W57" s="447"/>
      <c r="X57" s="448" t="s">
        <v>1790</v>
      </c>
      <c r="Y57" s="449">
        <f>T48</f>
        <v>75</v>
      </c>
      <c r="Z57" s="449">
        <f>U48</f>
        <v>72</v>
      </c>
      <c r="AA57" s="449">
        <f>V48</f>
        <v>22</v>
      </c>
      <c r="AB57" s="449">
        <f>W48</f>
        <v>0</v>
      </c>
      <c r="AC57" s="449">
        <f>X48</f>
        <v>0</v>
      </c>
      <c r="AD57" s="449">
        <f t="shared" ref="AD57:AD63" si="213">SUM(Y57:AC57)</f>
        <v>169</v>
      </c>
      <c r="AE57" s="448" t="s">
        <v>1554</v>
      </c>
      <c r="AF57" s="122"/>
      <c r="GU57" s="172"/>
      <c r="HJ57" s="113"/>
    </row>
    <row r="58" spans="1:221" ht="15" customHeight="1">
      <c r="A58" s="963" t="s">
        <v>652</v>
      </c>
      <c r="B58" s="963"/>
      <c r="C58" s="5"/>
      <c r="D58" s="2"/>
      <c r="E58" s="2"/>
      <c r="F58" s="2"/>
      <c r="G58" s="46" t="s">
        <v>133</v>
      </c>
      <c r="H58" s="382">
        <f>Y48</f>
        <v>14</v>
      </c>
      <c r="I58" s="382">
        <f>Z48</f>
        <v>13</v>
      </c>
      <c r="J58" s="382">
        <f>AA48</f>
        <v>4</v>
      </c>
      <c r="K58" s="382">
        <f>AB48</f>
        <v>0</v>
      </c>
      <c r="L58" s="382">
        <f>AC48</f>
        <v>0</v>
      </c>
      <c r="M58" s="382">
        <f t="shared" si="211"/>
        <v>31</v>
      </c>
      <c r="N58" s="976"/>
      <c r="O58" s="977"/>
      <c r="P58" s="739"/>
      <c r="Q58" s="680">
        <f t="shared" si="212"/>
        <v>0</v>
      </c>
      <c r="S58" s="207"/>
      <c r="T58" s="231"/>
      <c r="U58" s="447"/>
      <c r="V58" s="447"/>
      <c r="W58" s="447"/>
      <c r="X58" s="448" t="s">
        <v>133</v>
      </c>
      <c r="Y58" s="449">
        <f>Y48</f>
        <v>14</v>
      </c>
      <c r="Z58" s="449">
        <f>Z48</f>
        <v>13</v>
      </c>
      <c r="AA58" s="449">
        <f>AA48</f>
        <v>4</v>
      </c>
      <c r="AB58" s="449">
        <f>AB48</f>
        <v>0</v>
      </c>
      <c r="AC58" s="449">
        <f>AC48</f>
        <v>0</v>
      </c>
      <c r="AD58" s="449">
        <f t="shared" si="213"/>
        <v>31</v>
      </c>
      <c r="AE58" s="448"/>
      <c r="AF58" s="122"/>
      <c r="GU58" s="172"/>
      <c r="HJ58" s="113"/>
    </row>
    <row r="59" spans="1:221" ht="15" customHeight="1">
      <c r="A59" s="963"/>
      <c r="B59" s="963"/>
      <c r="C59" s="5"/>
      <c r="D59" s="2"/>
      <c r="E59" s="2"/>
      <c r="F59" s="2"/>
      <c r="G59" s="46" t="s">
        <v>831</v>
      </c>
      <c r="H59" s="383">
        <f>SUM(H57:H58)</f>
        <v>89</v>
      </c>
      <c r="I59" s="383">
        <f>SUM(I57:I58)</f>
        <v>85</v>
      </c>
      <c r="J59" s="383">
        <f>SUM(J57:J58)</f>
        <v>26</v>
      </c>
      <c r="K59" s="383">
        <f>SUM(K57:K58)</f>
        <v>0</v>
      </c>
      <c r="L59" s="383">
        <f>SUM(L57:L58)</f>
        <v>0</v>
      </c>
      <c r="M59" s="383">
        <f t="shared" si="211"/>
        <v>200</v>
      </c>
      <c r="N59" s="386"/>
      <c r="O59" s="113"/>
      <c r="Q59" s="680">
        <f t="shared" si="212"/>
        <v>0</v>
      </c>
      <c r="S59" s="207"/>
      <c r="T59" s="231"/>
      <c r="U59" s="447"/>
      <c r="V59" s="447"/>
      <c r="W59" s="447"/>
      <c r="X59" s="448" t="s">
        <v>831</v>
      </c>
      <c r="Y59" s="449">
        <f>SUM(Y57:Y58)</f>
        <v>89</v>
      </c>
      <c r="Z59" s="449">
        <f>SUM(Z57:Z58)</f>
        <v>85</v>
      </c>
      <c r="AA59" s="449">
        <f>SUM(AA57:AA58)</f>
        <v>26</v>
      </c>
      <c r="AB59" s="449">
        <f>SUM(AB57:AB58)</f>
        <v>0</v>
      </c>
      <c r="AC59" s="449">
        <f>SUM(AC57:AC58)</f>
        <v>0</v>
      </c>
      <c r="AD59" s="449">
        <f t="shared" si="213"/>
        <v>200</v>
      </c>
      <c r="AE59" s="448"/>
      <c r="AF59" s="122"/>
      <c r="GU59" s="172"/>
      <c r="HJ59" s="113"/>
    </row>
    <row r="60" spans="1:221" ht="15" customHeight="1">
      <c r="A60" s="963"/>
      <c r="B60" s="96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1778</v>
      </c>
      <c r="D61" s="2"/>
      <c r="E61" s="2"/>
      <c r="F61" s="2"/>
      <c r="G61" s="46"/>
      <c r="H61" s="383">
        <f>SUM(H59:H60)</f>
        <v>89</v>
      </c>
      <c r="I61" s="383">
        <f>SUM(I59:I60)</f>
        <v>85</v>
      </c>
      <c r="J61" s="383">
        <f>SUM(J59:J60)</f>
        <v>26</v>
      </c>
      <c r="K61" s="383">
        <f>SUM(K59:K60)</f>
        <v>0</v>
      </c>
      <c r="L61" s="383">
        <f>SUM(L59:L60)</f>
        <v>0</v>
      </c>
      <c r="M61" s="383">
        <f t="shared" si="211"/>
        <v>200</v>
      </c>
      <c r="N61" s="68"/>
      <c r="O61" s="113"/>
      <c r="Q61" s="680">
        <f t="shared" si="212"/>
        <v>0</v>
      </c>
      <c r="S61" s="207"/>
      <c r="T61" s="447" t="s">
        <v>1778</v>
      </c>
      <c r="U61" s="447"/>
      <c r="V61" s="447"/>
      <c r="W61" s="447"/>
      <c r="X61" s="448"/>
      <c r="Y61" s="449">
        <f>SUM(Y59:Y60)</f>
        <v>89</v>
      </c>
      <c r="Z61" s="449">
        <f>SUM(Z59:Z60)</f>
        <v>85</v>
      </c>
      <c r="AA61" s="449">
        <f>SUM(AA59:AA60)</f>
        <v>26</v>
      </c>
      <c r="AB61" s="449">
        <f>SUM(AB59:AB60)</f>
        <v>0</v>
      </c>
      <c r="AC61" s="449">
        <f>SUM(AC59:AC60)</f>
        <v>0</v>
      </c>
      <c r="AD61" s="449">
        <f t="shared" si="213"/>
        <v>200</v>
      </c>
      <c r="AE61" s="450"/>
      <c r="AF61" s="122"/>
      <c r="GU61" s="172"/>
      <c r="HJ61" s="113"/>
    </row>
    <row r="62" spans="1:221" ht="15" customHeight="1">
      <c r="A62" s="963"/>
      <c r="B62" s="963"/>
      <c r="C62" s="2" t="s">
        <v>3796</v>
      </c>
      <c r="D62" s="2"/>
      <c r="E62" s="2"/>
      <c r="F62" s="2"/>
      <c r="G62" s="46"/>
      <c r="H62" s="383">
        <f>BR48</f>
        <v>0</v>
      </c>
      <c r="I62" s="383">
        <f>BS48</f>
        <v>1</v>
      </c>
      <c r="J62" s="383">
        <f>BT48</f>
        <v>0</v>
      </c>
      <c r="K62" s="383">
        <f>BU48</f>
        <v>0</v>
      </c>
      <c r="L62" s="383">
        <f>BV48</f>
        <v>0</v>
      </c>
      <c r="M62" s="383">
        <f t="shared" si="211"/>
        <v>1</v>
      </c>
      <c r="N62" s="65" t="s">
        <v>3327</v>
      </c>
      <c r="O62" s="113"/>
      <c r="Q62" s="680">
        <f t="shared" si="212"/>
        <v>0</v>
      </c>
      <c r="S62" s="207"/>
      <c r="T62" s="447" t="s">
        <v>3796</v>
      </c>
      <c r="U62" s="447"/>
      <c r="V62" s="447"/>
      <c r="W62" s="447"/>
      <c r="X62" s="448"/>
      <c r="Y62" s="449">
        <f>BR48</f>
        <v>0</v>
      </c>
      <c r="Z62" s="449">
        <f>BS48</f>
        <v>1</v>
      </c>
      <c r="AA62" s="449">
        <f>BT48</f>
        <v>0</v>
      </c>
      <c r="AB62" s="449">
        <f>BU48</f>
        <v>0</v>
      </c>
      <c r="AC62" s="449">
        <f>BV48</f>
        <v>0</v>
      </c>
      <c r="AD62" s="449">
        <f t="shared" si="213"/>
        <v>1</v>
      </c>
      <c r="AE62" s="448" t="s">
        <v>839</v>
      </c>
      <c r="AF62" s="122"/>
      <c r="GU62" s="172"/>
      <c r="HJ62" s="113"/>
    </row>
    <row r="63" spans="1:221" ht="15" customHeight="1">
      <c r="A63" s="963"/>
      <c r="B63" s="963"/>
      <c r="C63" s="2" t="s">
        <v>831</v>
      </c>
      <c r="D63" s="2"/>
      <c r="E63" s="2"/>
      <c r="F63" s="2"/>
      <c r="G63" s="46"/>
      <c r="H63" s="383">
        <f>SUM(H61:H62)</f>
        <v>89</v>
      </c>
      <c r="I63" s="383">
        <f>SUM(I61:I62)</f>
        <v>86</v>
      </c>
      <c r="J63" s="383">
        <f>SUM(J61:J62)</f>
        <v>26</v>
      </c>
      <c r="K63" s="383">
        <f>SUM(K61:K62)</f>
        <v>0</v>
      </c>
      <c r="L63" s="383">
        <f>SUM(L61:L62)</f>
        <v>0</v>
      </c>
      <c r="M63" s="383">
        <f t="shared" si="211"/>
        <v>201</v>
      </c>
      <c r="O63" s="113"/>
      <c r="Q63" s="680">
        <f t="shared" si="212"/>
        <v>0</v>
      </c>
      <c r="S63" s="207"/>
      <c r="T63" s="447" t="s">
        <v>831</v>
      </c>
      <c r="U63" s="447"/>
      <c r="V63" s="447"/>
      <c r="W63" s="447"/>
      <c r="X63" s="448"/>
      <c r="Y63" s="449">
        <f>SUM(Y61:Y62)</f>
        <v>89</v>
      </c>
      <c r="Z63" s="449">
        <f>SUM(Z61:Z62)</f>
        <v>86</v>
      </c>
      <c r="AA63" s="449">
        <f>SUM(AA61:AA62)</f>
        <v>26</v>
      </c>
      <c r="AB63" s="449">
        <f>SUM(AB61:AB62)</f>
        <v>0</v>
      </c>
      <c r="AC63" s="449">
        <f>SUM(AC61:AC62)</f>
        <v>0</v>
      </c>
      <c r="AD63" s="449">
        <f t="shared" si="213"/>
        <v>201</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1528</v>
      </c>
      <c r="D65" s="2"/>
      <c r="E65" s="147"/>
      <c r="F65" s="2"/>
      <c r="G65" s="46" t="s">
        <v>1790</v>
      </c>
      <c r="H65" s="381">
        <f>AX48</f>
        <v>75</v>
      </c>
      <c r="I65" s="381">
        <f>AY48</f>
        <v>72</v>
      </c>
      <c r="J65" s="381">
        <f>AZ48</f>
        <v>22</v>
      </c>
      <c r="K65" s="381">
        <f>BA48</f>
        <v>0</v>
      </c>
      <c r="L65" s="381">
        <f>BB48</f>
        <v>0</v>
      </c>
      <c r="M65" s="381">
        <f>SUM(H65:L65)</f>
        <v>169</v>
      </c>
      <c r="N65" s="65"/>
      <c r="O65" s="113"/>
      <c r="Q65" s="680">
        <f>ABS(M65-AD65)</f>
        <v>0</v>
      </c>
      <c r="S65" s="207"/>
      <c r="T65" s="447" t="s">
        <v>1528</v>
      </c>
      <c r="U65" s="447"/>
      <c r="V65" s="451"/>
      <c r="W65" s="447"/>
      <c r="X65" s="448" t="s">
        <v>1790</v>
      </c>
      <c r="Y65" s="449">
        <f>AX48</f>
        <v>75</v>
      </c>
      <c r="Z65" s="449">
        <f>AY48</f>
        <v>72</v>
      </c>
      <c r="AA65" s="449">
        <f>AZ48</f>
        <v>22</v>
      </c>
      <c r="AB65" s="449">
        <f>BA48</f>
        <v>0</v>
      </c>
      <c r="AC65" s="449">
        <f>BB48</f>
        <v>0</v>
      </c>
      <c r="AD65" s="449">
        <f>SUM(Y65:AC65)</f>
        <v>169</v>
      </c>
      <c r="AE65" s="448"/>
      <c r="AF65" s="122"/>
      <c r="GU65" s="172"/>
      <c r="HJ65" s="113"/>
    </row>
    <row r="66" spans="1:218" ht="15" customHeight="1">
      <c r="A66" s="963"/>
      <c r="B66" s="963"/>
      <c r="C66" s="46" t="s">
        <v>3797</v>
      </c>
      <c r="D66" s="2"/>
      <c r="E66" s="147"/>
      <c r="F66" s="2"/>
      <c r="G66" s="46" t="s">
        <v>133</v>
      </c>
      <c r="H66" s="382">
        <f>AS48</f>
        <v>14</v>
      </c>
      <c r="I66" s="382">
        <f>AT48</f>
        <v>13</v>
      </c>
      <c r="J66" s="382">
        <f>AU48</f>
        <v>4</v>
      </c>
      <c r="K66" s="382">
        <f>AV48</f>
        <v>0</v>
      </c>
      <c r="L66" s="382">
        <f>AW48</f>
        <v>0</v>
      </c>
      <c r="M66" s="384">
        <f>SUM(H66:L66)</f>
        <v>31</v>
      </c>
      <c r="N66" s="65"/>
      <c r="O66" s="113"/>
      <c r="Q66" s="680">
        <f>ABS(M66-AD66)</f>
        <v>0</v>
      </c>
      <c r="S66" s="207"/>
      <c r="T66" s="448" t="s">
        <v>3797</v>
      </c>
      <c r="U66" s="447"/>
      <c r="V66" s="451"/>
      <c r="W66" s="447"/>
      <c r="X66" s="448" t="s">
        <v>133</v>
      </c>
      <c r="Y66" s="449">
        <f>AS48</f>
        <v>14</v>
      </c>
      <c r="Z66" s="449">
        <f>AT48</f>
        <v>13</v>
      </c>
      <c r="AA66" s="449">
        <f>AU48</f>
        <v>4</v>
      </c>
      <c r="AB66" s="449">
        <f>AV48</f>
        <v>0</v>
      </c>
      <c r="AC66" s="449">
        <f>AW48</f>
        <v>0</v>
      </c>
      <c r="AD66" s="449">
        <f>SUM(Y66:AC66)</f>
        <v>31</v>
      </c>
      <c r="AE66" s="448"/>
      <c r="AF66" s="122"/>
      <c r="GU66" s="172"/>
      <c r="HJ66" s="113"/>
    </row>
    <row r="67" spans="1:218" ht="15" customHeight="1">
      <c r="A67" s="963"/>
      <c r="B67" s="963"/>
      <c r="C67" s="5"/>
      <c r="D67" s="2"/>
      <c r="E67" s="147"/>
      <c r="F67" s="2"/>
      <c r="G67" s="46" t="s">
        <v>831</v>
      </c>
      <c r="H67" s="383">
        <f>SUM(H65:H66)</f>
        <v>89</v>
      </c>
      <c r="I67" s="383">
        <f>SUM(I65:I66)</f>
        <v>85</v>
      </c>
      <c r="J67" s="383">
        <f>SUM(J65:J66)</f>
        <v>26</v>
      </c>
      <c r="K67" s="383">
        <f>SUM(K65:K66)</f>
        <v>0</v>
      </c>
      <c r="L67" s="383">
        <f>SUM(L65:L66)</f>
        <v>0</v>
      </c>
      <c r="M67" s="383">
        <f>SUM(H67:L67)</f>
        <v>200</v>
      </c>
      <c r="N67" s="65"/>
      <c r="O67" s="113"/>
      <c r="Q67" s="680">
        <f>ABS(M67-AD67)</f>
        <v>0</v>
      </c>
      <c r="S67" s="207"/>
      <c r="T67" s="231"/>
      <c r="U67" s="447"/>
      <c r="V67" s="451"/>
      <c r="W67" s="447"/>
      <c r="X67" s="448" t="s">
        <v>831</v>
      </c>
      <c r="Y67" s="449">
        <f>SUM(Y65:Y66)</f>
        <v>89</v>
      </c>
      <c r="Z67" s="449">
        <f>SUM(Z65:Z66)</f>
        <v>85</v>
      </c>
      <c r="AA67" s="449">
        <f>SUM(AA65:AA66)</f>
        <v>26</v>
      </c>
      <c r="AB67" s="449">
        <f>SUM(AB65:AB66)</f>
        <v>0</v>
      </c>
      <c r="AC67" s="449">
        <f>SUM(AC65:AC66)</f>
        <v>0</v>
      </c>
      <c r="AD67" s="449">
        <f>SUM(Y67:AC67)</f>
        <v>200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3434</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3434</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3"/>
      <c r="B76" s="963"/>
      <c r="C76" s="2"/>
      <c r="D76" s="2"/>
      <c r="E76" s="140" t="s">
        <v>3236</v>
      </c>
      <c r="F76" s="2"/>
      <c r="G76" s="46" t="s">
        <v>2153</v>
      </c>
      <c r="H76" s="381">
        <f>DP48</f>
        <v>89</v>
      </c>
      <c r="I76" s="381">
        <f>DQ48</f>
        <v>85</v>
      </c>
      <c r="J76" s="381">
        <f>DR48</f>
        <v>26</v>
      </c>
      <c r="K76" s="381">
        <f>DS48</f>
        <v>0</v>
      </c>
      <c r="L76" s="381">
        <f>DT48</f>
        <v>0</v>
      </c>
      <c r="M76" s="381">
        <f t="shared" si="214"/>
        <v>200</v>
      </c>
      <c r="N76" s="31"/>
      <c r="O76" s="113"/>
      <c r="Q76" s="680">
        <f t="shared" si="215"/>
        <v>0</v>
      </c>
      <c r="S76" s="207"/>
      <c r="T76" s="447"/>
      <c r="U76" s="447"/>
      <c r="V76" s="451" t="s">
        <v>3236</v>
      </c>
      <c r="W76" s="447"/>
      <c r="X76" s="448" t="s">
        <v>2153</v>
      </c>
      <c r="Y76" s="449">
        <f>DP48</f>
        <v>89</v>
      </c>
      <c r="Z76" s="449">
        <f>DQ48</f>
        <v>85</v>
      </c>
      <c r="AA76" s="449">
        <f>DR48</f>
        <v>26</v>
      </c>
      <c r="AB76" s="449">
        <f>DS48</f>
        <v>0</v>
      </c>
      <c r="AC76" s="449">
        <f>DT48</f>
        <v>0</v>
      </c>
      <c r="AD76" s="449">
        <f t="shared" si="216"/>
        <v>200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89</v>
      </c>
      <c r="I78" s="383">
        <f>SUM(I76:I77)+EA48</f>
        <v>86</v>
      </c>
      <c r="J78" s="383">
        <f>SUM(J76:J77)+EB48</f>
        <v>26</v>
      </c>
      <c r="K78" s="383">
        <f>SUM(K76:K77)+EC48</f>
        <v>0</v>
      </c>
      <c r="L78" s="383">
        <f>SUM(L76:L77)+ED48</f>
        <v>0</v>
      </c>
      <c r="M78" s="383">
        <f t="shared" si="214"/>
        <v>201</v>
      </c>
      <c r="N78" s="65"/>
      <c r="O78" s="113"/>
      <c r="Q78" s="680">
        <f t="shared" si="215"/>
        <v>0</v>
      </c>
      <c r="S78" s="207"/>
      <c r="T78" s="231"/>
      <c r="U78" s="447"/>
      <c r="V78" s="451"/>
      <c r="W78" s="447"/>
      <c r="X78" s="681" t="s">
        <v>34</v>
      </c>
      <c r="Y78" s="449">
        <f>SUM(Y76:Y77)+DZ48</f>
        <v>89</v>
      </c>
      <c r="Z78" s="449">
        <f>SUM(Z76:Z77)+EA48</f>
        <v>86</v>
      </c>
      <c r="AA78" s="449">
        <f>SUM(AA76:AA77)+EB48</f>
        <v>26</v>
      </c>
      <c r="AB78" s="449">
        <f>SUM(AB76:AB77)+EC48</f>
        <v>0</v>
      </c>
      <c r="AC78" s="449">
        <f>SUM(AC76:AC77)+ED48</f>
        <v>0</v>
      </c>
      <c r="AD78" s="449">
        <f t="shared" si="216"/>
        <v>201</v>
      </c>
      <c r="AE78" s="448"/>
      <c r="AF78" s="122"/>
      <c r="GU78" s="172"/>
      <c r="HJ78" s="113"/>
    </row>
    <row r="79" spans="1:218" ht="15" customHeight="1">
      <c r="C79" s="2"/>
      <c r="D79" s="2"/>
      <c r="E79" s="980" t="s">
        <v>2130</v>
      </c>
      <c r="F79" s="980"/>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3140</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3"/>
      <c r="I82" s="1323"/>
      <c r="J82" s="1323"/>
      <c r="K82" s="1323"/>
      <c r="L82" s="1323"/>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4">
        <v>89</v>
      </c>
      <c r="I83" s="1324">
        <v>86</v>
      </c>
      <c r="J83" s="1324">
        <v>26</v>
      </c>
      <c r="K83" s="1324"/>
      <c r="L83" s="1324"/>
      <c r="M83" s="385">
        <f t="shared" si="214"/>
        <v>201</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89</v>
      </c>
      <c r="I85" s="381">
        <f>EU48</f>
        <v>86</v>
      </c>
      <c r="J85" s="381">
        <f>EV48</f>
        <v>26</v>
      </c>
      <c r="K85" s="381">
        <f>EW48</f>
        <v>0</v>
      </c>
      <c r="L85" s="381">
        <f>EX48</f>
        <v>0</v>
      </c>
      <c r="M85" s="381">
        <f>SUM(H85:L85)</f>
        <v>201</v>
      </c>
      <c r="N85" s="31"/>
      <c r="O85" s="113"/>
      <c r="Q85" s="680">
        <f>ABS(M85-AD85)</f>
        <v>0</v>
      </c>
      <c r="S85" s="207"/>
      <c r="T85" s="122"/>
      <c r="U85" s="122"/>
      <c r="V85" s="451" t="s">
        <v>46</v>
      </c>
      <c r="W85" s="122"/>
      <c r="X85" s="448"/>
      <c r="Y85" s="449">
        <f>ET48</f>
        <v>89</v>
      </c>
      <c r="Z85" s="449">
        <f>EU48</f>
        <v>86</v>
      </c>
      <c r="AA85" s="449">
        <f>EV48</f>
        <v>26</v>
      </c>
      <c r="AB85" s="449">
        <f>EW48</f>
        <v>0</v>
      </c>
      <c r="AC85" s="449">
        <f>EX48</f>
        <v>0</v>
      </c>
      <c r="AD85" s="449">
        <f>SUM(Y85:AC85)</f>
        <v>201</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1790</v>
      </c>
      <c r="H92" s="223">
        <f>BW48</f>
        <v>29396</v>
      </c>
      <c r="I92" s="223">
        <f>BX48</f>
        <v>44298</v>
      </c>
      <c r="J92" s="223">
        <f>BY48</f>
        <v>16563</v>
      </c>
      <c r="K92" s="223">
        <f>BZ48</f>
        <v>0</v>
      </c>
      <c r="L92" s="223">
        <f>CA48</f>
        <v>0</v>
      </c>
      <c r="M92" s="223">
        <f t="shared" ref="M92:M98" si="217">SUM(H92:L92)</f>
        <v>90257</v>
      </c>
      <c r="O92" s="113"/>
      <c r="Q92" s="680">
        <f t="shared" ref="Q92:Q98" si="218">ABS(M92-AD92)</f>
        <v>0</v>
      </c>
      <c r="S92" s="207"/>
      <c r="T92" s="447" t="s">
        <v>3235</v>
      </c>
      <c r="U92" s="447"/>
      <c r="V92" s="447"/>
      <c r="W92" s="447"/>
      <c r="X92" s="448" t="s">
        <v>1790</v>
      </c>
      <c r="Y92" s="449">
        <f>BW48</f>
        <v>29396</v>
      </c>
      <c r="Z92" s="449">
        <f>BX48</f>
        <v>44298</v>
      </c>
      <c r="AA92" s="449">
        <f>BY48</f>
        <v>16563</v>
      </c>
      <c r="AB92" s="449">
        <f>BZ48</f>
        <v>0</v>
      </c>
      <c r="AC92" s="449">
        <f>CA48</f>
        <v>0</v>
      </c>
      <c r="AD92" s="449">
        <f t="shared" ref="AD92:AD98" si="219">SUM(Y92:AC92)</f>
        <v>90257</v>
      </c>
      <c r="AE92" s="207"/>
      <c r="AF92" s="122"/>
      <c r="GU92" s="172"/>
      <c r="HJ92" s="113"/>
    </row>
    <row r="93" spans="1:218" ht="15" customHeight="1">
      <c r="C93" s="5"/>
      <c r="D93" s="2"/>
      <c r="E93" s="2"/>
      <c r="F93" s="2"/>
      <c r="G93" s="46" t="s">
        <v>133</v>
      </c>
      <c r="H93" s="225">
        <f>CB48</f>
        <v>5782</v>
      </c>
      <c r="I93" s="225">
        <f>CC48</f>
        <v>8363</v>
      </c>
      <c r="J93" s="225">
        <f>CD48</f>
        <v>3120</v>
      </c>
      <c r="K93" s="225">
        <f>CE48</f>
        <v>0</v>
      </c>
      <c r="L93" s="225">
        <f>CF48</f>
        <v>0</v>
      </c>
      <c r="M93" s="225">
        <f t="shared" si="217"/>
        <v>17265</v>
      </c>
      <c r="N93" s="6"/>
      <c r="O93" s="113"/>
      <c r="Q93" s="680">
        <f t="shared" si="218"/>
        <v>0</v>
      </c>
      <c r="S93" s="207"/>
      <c r="T93" s="231"/>
      <c r="U93" s="447"/>
      <c r="V93" s="447"/>
      <c r="W93" s="447"/>
      <c r="X93" s="448" t="s">
        <v>133</v>
      </c>
      <c r="Y93" s="449">
        <f>CB48</f>
        <v>5782</v>
      </c>
      <c r="Z93" s="449">
        <f>CC48</f>
        <v>8363</v>
      </c>
      <c r="AA93" s="449">
        <f>CD48</f>
        <v>3120</v>
      </c>
      <c r="AB93" s="449">
        <f>CE48</f>
        <v>0</v>
      </c>
      <c r="AC93" s="449">
        <f>CF48</f>
        <v>0</v>
      </c>
      <c r="AD93" s="449">
        <f t="shared" si="219"/>
        <v>17265</v>
      </c>
      <c r="AE93" s="447"/>
      <c r="AF93" s="122"/>
      <c r="GU93" s="172"/>
      <c r="HJ93" s="113"/>
    </row>
    <row r="94" spans="1:218" ht="15" customHeight="1">
      <c r="C94" s="5"/>
      <c r="D94" s="2"/>
      <c r="E94" s="2"/>
      <c r="F94" s="2"/>
      <c r="G94" s="46" t="s">
        <v>831</v>
      </c>
      <c r="H94" s="222">
        <f>SUM(H92:H93)</f>
        <v>35178</v>
      </c>
      <c r="I94" s="222">
        <f>SUM(I92:I93)</f>
        <v>52661</v>
      </c>
      <c r="J94" s="222">
        <f>SUM(J92:J93)</f>
        <v>19683</v>
      </c>
      <c r="K94" s="222">
        <f>SUM(K92:K93)</f>
        <v>0</v>
      </c>
      <c r="L94" s="222">
        <f>SUM(L92:L93)</f>
        <v>0</v>
      </c>
      <c r="M94" s="222">
        <f t="shared" si="217"/>
        <v>107522</v>
      </c>
      <c r="N94" s="6"/>
      <c r="O94" s="113"/>
      <c r="Q94" s="680">
        <f t="shared" si="218"/>
        <v>0</v>
      </c>
      <c r="S94" s="207"/>
      <c r="T94" s="231"/>
      <c r="U94" s="447"/>
      <c r="V94" s="447"/>
      <c r="W94" s="447"/>
      <c r="X94" s="448" t="s">
        <v>831</v>
      </c>
      <c r="Y94" s="449">
        <f>SUM(Y92:Y93)</f>
        <v>35178</v>
      </c>
      <c r="Z94" s="449">
        <f>SUM(Z92:Z93)</f>
        <v>52661</v>
      </c>
      <c r="AA94" s="449">
        <f>SUM(AA92:AA93)</f>
        <v>19683</v>
      </c>
      <c r="AB94" s="449">
        <f>SUM(AB92:AB93)</f>
        <v>0</v>
      </c>
      <c r="AC94" s="449">
        <f>SUM(AC92:AC93)</f>
        <v>0</v>
      </c>
      <c r="AD94" s="449">
        <f t="shared" si="219"/>
        <v>107522</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35178</v>
      </c>
      <c r="I96" s="222">
        <f>SUM(I94:I95)</f>
        <v>52661</v>
      </c>
      <c r="J96" s="222">
        <f>SUM(J94:J95)</f>
        <v>19683</v>
      </c>
      <c r="K96" s="222">
        <f>SUM(K94:K95)</f>
        <v>0</v>
      </c>
      <c r="L96" s="222">
        <f>SUM(L94:L95)</f>
        <v>0</v>
      </c>
      <c r="M96" s="222">
        <f t="shared" si="217"/>
        <v>107522</v>
      </c>
      <c r="O96" s="113"/>
      <c r="Q96" s="680">
        <f t="shared" si="218"/>
        <v>0</v>
      </c>
      <c r="S96" s="207"/>
      <c r="T96" s="447" t="s">
        <v>1778</v>
      </c>
      <c r="U96" s="447"/>
      <c r="V96" s="447"/>
      <c r="W96" s="447"/>
      <c r="X96" s="447"/>
      <c r="Y96" s="449">
        <f>SUM(Y94:Y95)</f>
        <v>35178</v>
      </c>
      <c r="Z96" s="449">
        <f>SUM(Z94:Z95)</f>
        <v>52661</v>
      </c>
      <c r="AA96" s="449">
        <f>SUM(AA94:AA95)</f>
        <v>19683</v>
      </c>
      <c r="AB96" s="449">
        <f>SUM(AB94:AB95)</f>
        <v>0</v>
      </c>
      <c r="AC96" s="449">
        <f>SUM(AC94:AC95)</f>
        <v>0</v>
      </c>
      <c r="AD96" s="449">
        <f t="shared" si="219"/>
        <v>107522</v>
      </c>
      <c r="AE96" s="207"/>
      <c r="AF96" s="122"/>
      <c r="GU96" s="172"/>
      <c r="HJ96" s="113"/>
    </row>
    <row r="97" spans="1:220" ht="15" customHeight="1">
      <c r="C97" s="6" t="s">
        <v>3796</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3796</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35178</v>
      </c>
      <c r="I98" s="222">
        <f>SUM(I96:I97)</f>
        <v>52661</v>
      </c>
      <c r="J98" s="222">
        <f>SUM(J96:J97)</f>
        <v>19683</v>
      </c>
      <c r="K98" s="222">
        <f>SUM(K96:K97)</f>
        <v>0</v>
      </c>
      <c r="L98" s="222">
        <f>SUM(L96:L97)</f>
        <v>0</v>
      </c>
      <c r="M98" s="222">
        <f t="shared" si="217"/>
        <v>107522</v>
      </c>
      <c r="O98" s="113"/>
      <c r="Q98" s="680">
        <f t="shared" si="218"/>
        <v>0</v>
      </c>
      <c r="S98" s="207"/>
      <c r="T98" s="447" t="s">
        <v>831</v>
      </c>
      <c r="U98" s="447"/>
      <c r="V98" s="447"/>
      <c r="W98" s="447"/>
      <c r="X98" s="447"/>
      <c r="Y98" s="449">
        <f>SUM(Y96:Y97)</f>
        <v>35178</v>
      </c>
      <c r="Z98" s="449">
        <f>SUM(Z96:Z97)</f>
        <v>52661</v>
      </c>
      <c r="AA98" s="449">
        <f>SUM(AA96:AA97)</f>
        <v>19683</v>
      </c>
      <c r="AB98" s="449">
        <f>SUM(AB96:AB97)</f>
        <v>0</v>
      </c>
      <c r="AC98" s="449">
        <f>SUM(AC96:AC97)</f>
        <v>0</v>
      </c>
      <c r="AD98" s="449">
        <f t="shared" si="219"/>
        <v>107522</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4">
        <f>0.02*L49</f>
        <v>44754</v>
      </c>
      <c r="H102" s="975"/>
      <c r="I102" s="145" t="s">
        <v>3751</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1632</v>
      </c>
      <c r="G107" s="1325"/>
      <c r="H107" s="1325"/>
      <c r="I107" s="1325"/>
      <c r="J107" s="1325"/>
      <c r="K107" s="1326"/>
      <c r="L107" s="1325"/>
      <c r="M107" s="1325"/>
      <c r="N107" s="1325"/>
      <c r="O107" s="1325"/>
      <c r="P107" s="1325"/>
    </row>
    <row r="108" spans="1:220" ht="15" customHeight="1">
      <c r="B108" s="9" t="s">
        <v>1229</v>
      </c>
      <c r="C108" s="1327"/>
      <c r="D108" s="1328"/>
      <c r="E108" s="1328"/>
      <c r="F108" s="1329"/>
      <c r="G108" s="1330"/>
      <c r="H108" s="1330"/>
      <c r="I108" s="1330"/>
      <c r="J108" s="1330"/>
      <c r="K108" s="1331"/>
      <c r="L108" s="1330"/>
      <c r="M108" s="1330"/>
      <c r="N108" s="1330"/>
      <c r="O108" s="1330"/>
      <c r="P108" s="1330"/>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325"/>
      <c r="H113" s="1325"/>
      <c r="I113" s="1325"/>
      <c r="J113" s="1325"/>
      <c r="K113" s="1326"/>
      <c r="L113" s="1325"/>
      <c r="M113" s="1325"/>
      <c r="N113" s="1325"/>
      <c r="O113" s="1325"/>
      <c r="P113" s="1325"/>
    </row>
    <row r="114" spans="2:16" ht="15" customHeight="1">
      <c r="B114" s="9" t="s">
        <v>1229</v>
      </c>
      <c r="C114" s="1327"/>
      <c r="D114" s="1328"/>
      <c r="E114" s="1328"/>
      <c r="F114" s="1329"/>
      <c r="G114" s="1330"/>
      <c r="H114" s="1330"/>
      <c r="I114" s="1330"/>
      <c r="J114" s="1330"/>
      <c r="K114" s="1331"/>
      <c r="L114" s="1330"/>
      <c r="M114" s="1330"/>
      <c r="N114" s="1330"/>
      <c r="O114" s="1330"/>
      <c r="P114" s="1330"/>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1632</v>
      </c>
      <c r="G118" s="1325"/>
      <c r="H118" s="1325"/>
      <c r="I118" s="1325"/>
      <c r="J118" s="1325"/>
      <c r="K118" s="1326"/>
      <c r="L118" s="1325"/>
      <c r="M118" s="1325"/>
      <c r="N118" s="1325"/>
      <c r="O118" s="1325"/>
      <c r="P118" s="1325"/>
    </row>
    <row r="119" spans="2:16" ht="15" customHeight="1">
      <c r="B119" s="9" t="s">
        <v>1229</v>
      </c>
      <c r="C119" s="1327"/>
      <c r="D119" s="1328"/>
      <c r="E119" s="1328"/>
      <c r="F119" s="1329"/>
      <c r="G119" s="1330"/>
      <c r="H119" s="1330"/>
      <c r="I119" s="1330"/>
      <c r="J119" s="1330"/>
      <c r="K119" s="1331"/>
      <c r="L119" s="1330"/>
      <c r="M119" s="1330"/>
      <c r="N119" s="1330"/>
      <c r="O119" s="1330"/>
      <c r="P119" s="1330"/>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325"/>
      <c r="H124" s="1325"/>
      <c r="I124" s="1325"/>
      <c r="J124" s="1325"/>
      <c r="K124" s="1326"/>
      <c r="L124" s="1325"/>
      <c r="M124" s="1325"/>
      <c r="N124" s="1325"/>
      <c r="O124" s="1325"/>
      <c r="P124" s="1325"/>
    </row>
    <row r="125" spans="2:16" ht="15" customHeight="1">
      <c r="B125" s="9" t="s">
        <v>1229</v>
      </c>
      <c r="C125" s="1327"/>
      <c r="D125" s="1328"/>
      <c r="E125" s="1328"/>
      <c r="F125" s="1329"/>
      <c r="G125" s="1330"/>
      <c r="H125" s="1330"/>
      <c r="I125" s="1330"/>
      <c r="J125" s="1330"/>
      <c r="K125" s="1331"/>
      <c r="L125" s="1330"/>
      <c r="M125" s="1330"/>
      <c r="N125" s="1330"/>
      <c r="O125" s="1330"/>
      <c r="P125" s="1330"/>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1632</v>
      </c>
      <c r="G129" s="1325"/>
      <c r="H129" s="1325"/>
      <c r="I129" s="1325"/>
      <c r="J129" s="1325"/>
      <c r="K129" s="1326"/>
      <c r="L129" s="1325"/>
      <c r="M129" s="1325"/>
      <c r="N129" s="1325"/>
      <c r="O129" s="1325"/>
      <c r="P129" s="1325"/>
    </row>
    <row r="130" spans="1:219" ht="15" customHeight="1">
      <c r="B130" s="9" t="s">
        <v>1229</v>
      </c>
      <c r="C130" s="1327"/>
      <c r="D130" s="1328"/>
      <c r="E130" s="1328"/>
      <c r="F130" s="1329"/>
      <c r="G130" s="1330"/>
      <c r="H130" s="1330"/>
      <c r="I130" s="1330"/>
      <c r="J130" s="1330"/>
      <c r="K130" s="1331"/>
      <c r="L130" s="1330"/>
      <c r="M130" s="1330"/>
      <c r="N130" s="1330"/>
      <c r="O130" s="1330"/>
      <c r="P130" s="1330"/>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325"/>
      <c r="H135" s="1325"/>
      <c r="I135" s="1325"/>
      <c r="J135" s="1325"/>
      <c r="K135" s="1326"/>
      <c r="L135" s="1325"/>
      <c r="M135" s="1325"/>
      <c r="N135" s="1325"/>
      <c r="O135" s="1325"/>
      <c r="P135" s="1325"/>
    </row>
    <row r="136" spans="1:219" ht="15" customHeight="1">
      <c r="B136" s="9" t="s">
        <v>1229</v>
      </c>
      <c r="C136" s="1327"/>
      <c r="D136" s="1328"/>
      <c r="E136" s="1328"/>
      <c r="F136" s="1329"/>
      <c r="G136" s="1330"/>
      <c r="H136" s="1330"/>
      <c r="I136" s="1330"/>
      <c r="J136" s="1330"/>
      <c r="K136" s="1331"/>
      <c r="L136" s="1330"/>
      <c r="M136" s="1330"/>
      <c r="N136" s="1330"/>
      <c r="O136" s="1330"/>
      <c r="P136" s="1330"/>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2822</v>
      </c>
      <c r="B139" s="710" t="s">
        <v>1634</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32">
        <v>104816</v>
      </c>
      <c r="G142" s="1333"/>
      <c r="H142" s="2"/>
      <c r="I142" s="2" t="s">
        <v>2079</v>
      </c>
      <c r="J142" s="2"/>
      <c r="K142" s="1332"/>
      <c r="L142" s="1333"/>
      <c r="M142" s="2"/>
      <c r="N142" s="2" t="s">
        <v>1523</v>
      </c>
      <c r="O142" s="2"/>
      <c r="P142" s="1334">
        <v>243483</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32">
        <v>133704</v>
      </c>
      <c r="G143" s="1333"/>
      <c r="H143" s="2"/>
      <c r="I143" s="2" t="s">
        <v>2080</v>
      </c>
      <c r="J143" s="2"/>
      <c r="K143" s="1332"/>
      <c r="L143" s="1333"/>
      <c r="M143" s="2"/>
      <c r="N143" s="2" t="s">
        <v>200</v>
      </c>
      <c r="O143" s="2"/>
      <c r="P143" s="1334">
        <v>57455</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32">
        <v>60500</v>
      </c>
      <c r="G144" s="1333"/>
      <c r="H144" s="2"/>
      <c r="I144" s="2"/>
      <c r="J144" s="168" t="s">
        <v>249</v>
      </c>
      <c r="K144" s="970">
        <f>SUM(K142:L143)</f>
        <v>0</v>
      </c>
      <c r="L144" s="971"/>
      <c r="M144" s="2"/>
      <c r="N144" s="1335" t="s">
        <v>3998</v>
      </c>
      <c r="O144" s="1336"/>
      <c r="P144" s="1337">
        <v>501</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8" t="s">
        <v>4000</v>
      </c>
      <c r="C145" s="1339"/>
      <c r="D145" s="1339"/>
      <c r="E145" s="1340"/>
      <c r="F145" s="1341">
        <v>15751</v>
      </c>
      <c r="G145" s="1342"/>
      <c r="H145" s="2"/>
      <c r="I145" s="2"/>
      <c r="J145" s="2"/>
      <c r="K145" s="2"/>
      <c r="L145" s="2"/>
      <c r="M145" s="2"/>
      <c r="N145" s="13" t="s">
        <v>249</v>
      </c>
      <c r="O145" s="2"/>
      <c r="P145" s="665">
        <f>SUM(P142:P144)</f>
        <v>301439</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314771</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106134</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32">
        <v>29857</v>
      </c>
      <c r="G149" s="1333"/>
      <c r="H149" s="2"/>
      <c r="I149" s="2" t="s">
        <v>2363</v>
      </c>
      <c r="J149" s="2"/>
      <c r="K149" s="1343">
        <v>7500</v>
      </c>
      <c r="L149" s="1344"/>
      <c r="M149" s="2"/>
      <c r="N149" s="610">
        <f>+P148/(M63*0.93)</f>
        <v>567.77403306050394</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32"/>
      <c r="G150" s="1333"/>
      <c r="H150" s="2"/>
      <c r="I150" s="2" t="s">
        <v>3139</v>
      </c>
      <c r="J150" s="2"/>
      <c r="K150" s="1345">
        <v>9000</v>
      </c>
      <c r="L150" s="1346"/>
      <c r="M150" s="2"/>
      <c r="N150" s="610">
        <f>+P148/(M63*0.93)/12</f>
        <v>47.314502755041993</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32"/>
      <c r="G151" s="1333"/>
      <c r="H151" s="2"/>
      <c r="I151" s="2" t="s">
        <v>2364</v>
      </c>
      <c r="J151" s="2"/>
      <c r="K151" s="1345"/>
      <c r="L151" s="1346"/>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32"/>
      <c r="G152" s="1333"/>
      <c r="H152" s="2"/>
      <c r="I152" s="1335" t="s">
        <v>3999</v>
      </c>
      <c r="J152" s="1336"/>
      <c r="K152" s="1343">
        <v>2000</v>
      </c>
      <c r="L152" s="1344"/>
      <c r="M152" s="2"/>
      <c r="N152" s="978" t="s">
        <v>3731</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32"/>
      <c r="G153" s="1333"/>
      <c r="H153" s="2"/>
      <c r="I153" s="11"/>
      <c r="J153" s="13" t="s">
        <v>249</v>
      </c>
      <c r="K153" s="968">
        <f>SUM(K149:K152)</f>
        <v>18500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8" t="s">
        <v>3997</v>
      </c>
      <c r="C154" s="1339"/>
      <c r="D154" s="1339"/>
      <c r="E154" s="1340"/>
      <c r="F154" s="1341">
        <v>11500</v>
      </c>
      <c r="G154" s="1342"/>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41357</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7"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47">
        <v>16762</v>
      </c>
      <c r="G158" s="1348"/>
      <c r="H158" s="2"/>
      <c r="I158" s="2" t="s">
        <v>2069</v>
      </c>
      <c r="J158" s="662">
        <f>K158/12/$M$63</f>
        <v>48.922056384742952</v>
      </c>
      <c r="K158" s="1345">
        <v>118000</v>
      </c>
      <c r="L158" s="1346"/>
      <c r="M158" s="2"/>
      <c r="N158" s="368">
        <f>+$P$158/$M$63</f>
        <v>5705.0646766169157</v>
      </c>
      <c r="O158" s="30" t="s">
        <v>2109</v>
      </c>
      <c r="P158" s="663">
        <f>F146+F155+F166+K144+K153+K163+P145+P148</f>
        <v>1146718</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47">
        <v>20000</v>
      </c>
      <c r="G159" s="1348"/>
      <c r="H159" s="2"/>
      <c r="I159" s="2" t="s">
        <v>2070</v>
      </c>
      <c r="J159" s="662">
        <f>K159/12/$M$63</f>
        <v>12.023217247097843</v>
      </c>
      <c r="K159" s="1345">
        <v>29000</v>
      </c>
      <c r="L159" s="1346"/>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47">
        <v>8000</v>
      </c>
      <c r="G160" s="1348"/>
      <c r="H160" s="2"/>
      <c r="I160" s="2" t="s">
        <v>3552</v>
      </c>
      <c r="J160" s="662">
        <f>K160/12/$M$63</f>
        <v>53.067993366500829</v>
      </c>
      <c r="K160" s="1345">
        <v>128000</v>
      </c>
      <c r="L160" s="1346"/>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32">
        <v>10000</v>
      </c>
      <c r="G161" s="1333"/>
      <c r="H161" s="2"/>
      <c r="I161" s="2" t="s">
        <v>2072</v>
      </c>
      <c r="J161" s="2"/>
      <c r="K161" s="1345">
        <v>22755</v>
      </c>
      <c r="L161" s="1346"/>
      <c r="M161" s="2"/>
      <c r="N161" s="11" t="s">
        <v>1921</v>
      </c>
      <c r="O161" s="11"/>
      <c r="P161" s="664">
        <f>P162*M63</f>
        <v>84420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32"/>
      <c r="G162" s="1333"/>
      <c r="H162" s="2"/>
      <c r="I162" s="1335" t="s">
        <v>60</v>
      </c>
      <c r="J162" s="1336"/>
      <c r="K162" s="1343"/>
      <c r="L162" s="1344"/>
      <c r="M162" s="2"/>
      <c r="N162" s="30" t="s">
        <v>679</v>
      </c>
      <c r="O162" s="2"/>
      <c r="P162" s="1349">
        <v>420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32">
        <v>12000</v>
      </c>
      <c r="G163" s="1333"/>
      <c r="H163" s="2"/>
      <c r="I163" s="2"/>
      <c r="J163" s="13" t="s">
        <v>249</v>
      </c>
      <c r="K163" s="968">
        <f>SUM(K158:K162)</f>
        <v>297755</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32"/>
      <c r="G164" s="133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8" t="s">
        <v>60</v>
      </c>
      <c r="C165" s="1339"/>
      <c r="D165" s="1339"/>
      <c r="E165" s="1340"/>
      <c r="F165" s="1341"/>
      <c r="G165" s="1342"/>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66762</v>
      </c>
      <c r="G166" s="967"/>
      <c r="H166" s="2"/>
      <c r="I166" s="2"/>
      <c r="J166" s="14"/>
      <c r="K166" s="2"/>
      <c r="L166" s="2"/>
      <c r="M166" s="2"/>
      <c r="N166" s="2"/>
      <c r="O166" s="2"/>
      <c r="P166" s="663">
        <f>P158+P161</f>
        <v>1231138</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878</v>
      </c>
      <c r="K168" s="16" t="s">
        <v>821</v>
      </c>
      <c r="L168" s="16" t="s">
        <v>2896</v>
      </c>
    </row>
    <row r="169" spans="1:219" ht="16.5" customHeight="1">
      <c r="A169" s="1291" t="s">
        <v>4083</v>
      </c>
      <c r="B169" s="1350"/>
      <c r="C169" s="1350"/>
      <c r="D169" s="1350"/>
      <c r="E169" s="1350"/>
      <c r="F169" s="1350"/>
      <c r="G169" s="1350"/>
      <c r="H169" s="1350"/>
      <c r="I169" s="1350"/>
      <c r="J169" s="1351"/>
      <c r="K169" s="1294"/>
      <c r="L169" s="1352"/>
      <c r="M169" s="1352"/>
      <c r="N169" s="1352"/>
      <c r="O169" s="1352"/>
      <c r="P169" s="1353"/>
    </row>
    <row r="170" spans="1:219" s="122" customFormat="1" ht="70.5" customHeight="1">
      <c r="A170" s="1295" t="s">
        <v>4072</v>
      </c>
      <c r="B170" s="1354"/>
      <c r="C170" s="1354"/>
      <c r="D170" s="1354"/>
      <c r="E170" s="1354"/>
      <c r="F170" s="1354"/>
      <c r="G170" s="1354"/>
      <c r="H170" s="1354"/>
      <c r="I170" s="1354"/>
      <c r="J170" s="1355"/>
      <c r="K170" s="1298"/>
      <c r="L170" s="1356"/>
      <c r="M170" s="1356"/>
      <c r="N170" s="1356"/>
      <c r="O170" s="1356"/>
      <c r="P170" s="1357"/>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9"/>
      <c r="B171" s="1358"/>
      <c r="C171" s="1358"/>
      <c r="D171" s="1358"/>
      <c r="E171" s="1358"/>
      <c r="F171" s="1358"/>
      <c r="G171" s="1358"/>
      <c r="H171" s="1358"/>
      <c r="I171" s="1358"/>
      <c r="J171" s="1359"/>
      <c r="K171" s="1302"/>
      <c r="L171" s="1360"/>
      <c r="M171" s="1360"/>
      <c r="N171" s="1360"/>
      <c r="O171" s="1360"/>
      <c r="P171" s="1361"/>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38" zoomScale="90" zoomScaleNormal="90" workbookViewId="0">
      <selection activeCell="D24" sqref="D24"/>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2011-015 Briarcliff Summit Apartments , Atlanta, Fulton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3294</v>
      </c>
      <c r="B5" s="108">
        <v>0.02</v>
      </c>
      <c r="C5" s="19"/>
      <c r="D5" s="19" t="s">
        <v>1364</v>
      </c>
      <c r="F5" s="19"/>
      <c r="G5" s="1280">
        <v>10000</v>
      </c>
      <c r="H5" s="132" t="s">
        <v>2970</v>
      </c>
      <c r="K5" s="138">
        <f>IF(($B$14+$B$15+$B$16+$B$17)=0,"",-B30/($B$14+$B$15+$B$16+$B$17))</f>
        <v>4.7110207575017998E-3</v>
      </c>
    </row>
    <row r="6" spans="1:15">
      <c r="A6" s="19" t="s">
        <v>3295</v>
      </c>
      <c r="B6" s="108">
        <v>0.03</v>
      </c>
      <c r="C6" s="19"/>
      <c r="D6" s="19" t="s">
        <v>1365</v>
      </c>
      <c r="F6" s="19"/>
      <c r="G6" s="1280"/>
      <c r="H6" s="132" t="s">
        <v>3586</v>
      </c>
      <c r="K6" s="138">
        <f>IF(($B$14+$B$15+$B$16+$B$17)=0,"",-B32/($B$14+$B$15+$B$16+$B$17))</f>
        <v>0</v>
      </c>
    </row>
    <row r="7" spans="1:15">
      <c r="A7" s="19" t="s">
        <v>3297</v>
      </c>
      <c r="B7" s="108">
        <v>0.03</v>
      </c>
      <c r="C7" s="19"/>
      <c r="D7" s="110" t="s">
        <v>357</v>
      </c>
      <c r="G7" s="112"/>
      <c r="H7" s="132" t="s">
        <v>3587</v>
      </c>
      <c r="K7" s="138">
        <f>IF(($B$14+$B$15+$B$16+$B$17)=0,"",-B20/($B$14+$B$15+$B$16+$B$17))</f>
        <v>4.9999947707669599E-2</v>
      </c>
    </row>
    <row r="8" spans="1:15" ht="13.15" customHeight="1">
      <c r="A8" s="19" t="s">
        <v>3296</v>
      </c>
      <c r="B8" s="1281">
        <v>7.0000000000000007E-2</v>
      </c>
      <c r="C8" s="19"/>
      <c r="D8" s="109" t="s">
        <v>3788</v>
      </c>
      <c r="G8" s="1282" t="s">
        <v>3925</v>
      </c>
      <c r="H8" s="232" t="s">
        <v>2167</v>
      </c>
      <c r="K8" s="1283"/>
    </row>
    <row r="9" spans="1:15">
      <c r="A9" s="19" t="s">
        <v>2128</v>
      </c>
      <c r="B9" s="108">
        <v>0.02</v>
      </c>
      <c r="D9" s="109" t="s">
        <v>2742</v>
      </c>
      <c r="G9" s="1284" t="s">
        <v>3926</v>
      </c>
      <c r="H9" s="232" t="s">
        <v>3560</v>
      </c>
      <c r="K9" s="1285">
        <v>0.05</v>
      </c>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2237700</v>
      </c>
      <c r="C14" s="22">
        <f t="shared" ref="C14:K14" si="1">$B$14*(1+$B$5)^(C13-1)</f>
        <v>2282454</v>
      </c>
      <c r="D14" s="22">
        <f t="shared" si="1"/>
        <v>2328103.08</v>
      </c>
      <c r="E14" s="22">
        <f t="shared" si="1"/>
        <v>2374665.1415999997</v>
      </c>
      <c r="F14" s="22">
        <f t="shared" si="1"/>
        <v>2422158.4444320002</v>
      </c>
      <c r="G14" s="22">
        <f t="shared" si="1"/>
        <v>2470601.6133206398</v>
      </c>
      <c r="H14" s="22">
        <f t="shared" si="1"/>
        <v>2520013.6455870531</v>
      </c>
      <c r="I14" s="22">
        <f t="shared" si="1"/>
        <v>2570413.9184987936</v>
      </c>
      <c r="J14" s="22">
        <f t="shared" si="1"/>
        <v>2621822.1968687694</v>
      </c>
      <c r="K14" s="23">
        <f t="shared" si="1"/>
        <v>2674258.640806145</v>
      </c>
    </row>
    <row r="15" spans="1:15" ht="13.15" customHeight="1">
      <c r="A15" s="24" t="s">
        <v>1631</v>
      </c>
      <c r="B15" s="25">
        <f>MIN(B14*B9,'Part VI-Revenues &amp; Expenses'!G102)</f>
        <v>44754</v>
      </c>
      <c r="C15" s="25">
        <f t="shared" ref="C15:K15" si="2">$B$15*(1+$B$5)^(C13-1)</f>
        <v>45649.08</v>
      </c>
      <c r="D15" s="25">
        <f t="shared" si="2"/>
        <v>46562.061600000001</v>
      </c>
      <c r="E15" s="25">
        <f t="shared" si="2"/>
        <v>47493.302831999994</v>
      </c>
      <c r="F15" s="25">
        <f t="shared" si="2"/>
        <v>48443.168888640001</v>
      </c>
      <c r="G15" s="25">
        <f t="shared" si="2"/>
        <v>49412.032266412803</v>
      </c>
      <c r="H15" s="25">
        <f t="shared" si="2"/>
        <v>50400.272911741056</v>
      </c>
      <c r="I15" s="25">
        <f t="shared" si="2"/>
        <v>51408.278369975866</v>
      </c>
      <c r="J15" s="25">
        <f t="shared" si="2"/>
        <v>52436.443937375392</v>
      </c>
      <c r="K15" s="26">
        <f t="shared" si="2"/>
        <v>53485.172816122897</v>
      </c>
    </row>
    <row r="16" spans="1:15" ht="13.15" customHeight="1">
      <c r="A16" s="24" t="s">
        <v>3642</v>
      </c>
      <c r="B16" s="25">
        <f t="shared" ref="B16:K16" si="3">-(B14+B15)*$B$8</f>
        <v>-159771.78000000003</v>
      </c>
      <c r="C16" s="25">
        <f t="shared" si="3"/>
        <v>-162967.21560000003</v>
      </c>
      <c r="D16" s="25">
        <f t="shared" si="3"/>
        <v>-166226.55991200003</v>
      </c>
      <c r="E16" s="25">
        <f t="shared" si="3"/>
        <v>-169551.09111024</v>
      </c>
      <c r="F16" s="25">
        <f t="shared" si="3"/>
        <v>-172942.11293244484</v>
      </c>
      <c r="G16" s="25">
        <f t="shared" si="3"/>
        <v>-176400.9551910937</v>
      </c>
      <c r="H16" s="25">
        <f t="shared" si="3"/>
        <v>-179928.97429491559</v>
      </c>
      <c r="I16" s="25">
        <f t="shared" si="3"/>
        <v>-183527.55378081388</v>
      </c>
      <c r="J16" s="25">
        <f t="shared" si="3"/>
        <v>-187198.10485643015</v>
      </c>
      <c r="K16" s="26">
        <f t="shared" si="3"/>
        <v>-190942.06695355877</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947</v>
      </c>
      <c r="B19" s="25">
        <f>-('Part VI-Revenues &amp; Expenses'!P158-'Part VI-Revenues &amp; Expenses'!P148)</f>
        <v>-1040584</v>
      </c>
      <c r="C19" s="25">
        <f t="shared" ref="C19:K19" si="4">$B$19*(1+$B$6)^(C13-1)</f>
        <v>-1071801.52</v>
      </c>
      <c r="D19" s="25">
        <f t="shared" si="4"/>
        <v>-1103955.5655999999</v>
      </c>
      <c r="E19" s="25">
        <f t="shared" si="4"/>
        <v>-1137074.232568</v>
      </c>
      <c r="F19" s="25">
        <f t="shared" si="4"/>
        <v>-1171186.4595450398</v>
      </c>
      <c r="G19" s="25">
        <f t="shared" si="4"/>
        <v>-1206322.053331391</v>
      </c>
      <c r="H19" s="25">
        <f t="shared" si="4"/>
        <v>-1242511.7149313327</v>
      </c>
      <c r="I19" s="25">
        <f t="shared" si="4"/>
        <v>-1279787.0663792728</v>
      </c>
      <c r="J19" s="25">
        <f t="shared" si="4"/>
        <v>-1318180.6783706509</v>
      </c>
      <c r="K19" s="26">
        <f t="shared" si="4"/>
        <v>-1357726.0987217706</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-106134</v>
      </c>
      <c r="C20" s="25">
        <f>IF(AND('Part VII-Pro Forma'!$G$8="Yes",'Part VII-Pro Forma'!$G$9="Yes"),"Choose One!",IF('Part VII-Pro Forma'!$G$8="Yes",ROUND((-$K$8*(1+'Part VII-Pro Forma'!$B$6)^('Part VII-Pro Forma'!C13-1)),),IF('Part VII-Pro Forma'!$G$9="Yes",ROUND((-(SUM(C14:C17)*'Part VII-Pro Forma'!$K$9)),),"Choose mgt fee")))</f>
        <v>-108257</v>
      </c>
      <c r="D20" s="25">
        <f>IF(AND('Part VII-Pro Forma'!$G$8="Yes",'Part VII-Pro Forma'!$G$9="Yes"),"Choose One!",IF('Part VII-Pro Forma'!$G$8="Yes",ROUND((-$K$8*(1+'Part VII-Pro Forma'!$B$6)^('Part VII-Pro Forma'!D13-1)),),IF('Part VII-Pro Forma'!$G$9="Yes",ROUND((-(SUM(D14:D17)*'Part VII-Pro Forma'!$K$9)),),"Choose mgt fee")))</f>
        <v>-110422</v>
      </c>
      <c r="E20" s="25">
        <f>IF(AND('Part VII-Pro Forma'!$G$8="Yes",'Part VII-Pro Forma'!$G$9="Yes"),"Choose One!",IF('Part VII-Pro Forma'!$G$8="Yes",ROUND((-$K$8*(1+'Part VII-Pro Forma'!$B$6)^('Part VII-Pro Forma'!E13-1)),),IF('Part VII-Pro Forma'!$G$9="Yes",ROUND((-(SUM(E14:E17)*'Part VII-Pro Forma'!$K$9)),),"Choose mgt fee")))</f>
        <v>-112630</v>
      </c>
      <c r="F20" s="25">
        <f>IF(AND('Part VII-Pro Forma'!$G$8="Yes",'Part VII-Pro Forma'!$G$9="Yes"),"Choose One!",IF('Part VII-Pro Forma'!$G$8="Yes",ROUND((-$K$8*(1+'Part VII-Pro Forma'!$B$6)^('Part VII-Pro Forma'!F13-1)),),IF('Part VII-Pro Forma'!$G$9="Yes",ROUND((-(SUM(F14:F17)*'Part VII-Pro Forma'!$K$9)),),"Choose mgt fee")))</f>
        <v>-114883</v>
      </c>
      <c r="G20" s="25">
        <f>IF(AND('Part VII-Pro Forma'!$G$8="Yes",'Part VII-Pro Forma'!$G$9="Yes"),"Choose One!",IF('Part VII-Pro Forma'!$G$8="Yes",ROUND((-$K$8*(1+'Part VII-Pro Forma'!$B$6)^('Part VII-Pro Forma'!G13-1)),),IF('Part VII-Pro Forma'!$G$9="Yes",ROUND((-(SUM(G14:G17)*'Part VII-Pro Forma'!$K$9)),),"Choose mgt fee")))</f>
        <v>-117181</v>
      </c>
      <c r="H20" s="25">
        <f>IF(AND('Part VII-Pro Forma'!$G$8="Yes",'Part VII-Pro Forma'!$G$9="Yes"),"Choose One!",IF('Part VII-Pro Forma'!$G$8="Yes",ROUND((-$K$8*(1+'Part VII-Pro Forma'!$B$6)^('Part VII-Pro Forma'!H13-1)),),IF('Part VII-Pro Forma'!$G$9="Yes",ROUND((-(SUM(H14:H17)*'Part VII-Pro Forma'!$K$9)),),"Choose mgt fee")))</f>
        <v>-119524</v>
      </c>
      <c r="I20" s="25">
        <f>IF(AND('Part VII-Pro Forma'!$G$8="Yes",'Part VII-Pro Forma'!$G$9="Yes"),"Choose One!",IF('Part VII-Pro Forma'!$G$8="Yes",ROUND((-$K$8*(1+'Part VII-Pro Forma'!$B$6)^('Part VII-Pro Forma'!I13-1)),),IF('Part VII-Pro Forma'!$G$9="Yes",ROUND((-(SUM(I14:I17)*'Part VII-Pro Forma'!$K$9)),),"Choose mgt fee")))</f>
        <v>-121915</v>
      </c>
      <c r="J20" s="25">
        <f>IF(AND('Part VII-Pro Forma'!$G$8="Yes",'Part VII-Pro Forma'!$G$9="Yes"),"Choose One!",IF('Part VII-Pro Forma'!$G$8="Yes",ROUND((-$K$8*(1+'Part VII-Pro Forma'!$B$6)^('Part VII-Pro Forma'!J13-1)),),IF('Part VII-Pro Forma'!$G$9="Yes",ROUND((-(SUM(J14:J17)*'Part VII-Pro Forma'!$K$9)),),"Choose mgt fee")))</f>
        <v>-124353</v>
      </c>
      <c r="K20" s="25">
        <f>IF(AND('Part VII-Pro Forma'!$G$8="Yes",'Part VII-Pro Forma'!$G$9="Yes"),"Choose One!",IF('Part VII-Pro Forma'!$G$8="Yes",ROUND((-$K$8*(1+'Part VII-Pro Forma'!$B$6)^('Part VII-Pro Forma'!K13-1)),),IF('Part VII-Pro Forma'!$G$9="Yes",ROUND((-(SUM(K14:K17)*'Part VII-Pro Forma'!$K$9)),),"Choose mgt fee")))</f>
        <v>-126840</v>
      </c>
    </row>
    <row r="21" spans="1:11" ht="13.15" customHeight="1">
      <c r="A21" s="24" t="s">
        <v>1861</v>
      </c>
      <c r="B21" s="25">
        <f>-('Part VI-Revenues &amp; Expenses'!P161)</f>
        <v>-84420</v>
      </c>
      <c r="C21" s="25">
        <f t="shared" ref="C21:K21" si="5">$B$21*(1+$B$7)^(C13-1)</f>
        <v>-86952.6</v>
      </c>
      <c r="D21" s="25">
        <f t="shared" si="5"/>
        <v>-89561.178</v>
      </c>
      <c r="E21" s="25">
        <f t="shared" si="5"/>
        <v>-92248.013340000005</v>
      </c>
      <c r="F21" s="25">
        <f t="shared" si="5"/>
        <v>-95015.453740199999</v>
      </c>
      <c r="G21" s="25">
        <f t="shared" si="5"/>
        <v>-97865.917352405988</v>
      </c>
      <c r="H21" s="25">
        <f t="shared" si="5"/>
        <v>-100801.89487297817</v>
      </c>
      <c r="I21" s="25">
        <f t="shared" si="5"/>
        <v>-103825.95171916753</v>
      </c>
      <c r="J21" s="25">
        <f t="shared" si="5"/>
        <v>-106940.73027074254</v>
      </c>
      <c r="K21" s="26">
        <f t="shared" si="5"/>
        <v>-110148.95217886481</v>
      </c>
    </row>
    <row r="22" spans="1:11" ht="13.15" customHeight="1">
      <c r="A22" s="24" t="s">
        <v>1862</v>
      </c>
      <c r="B22" s="25">
        <f t="shared" ref="B22:K22" si="6">SUM(B14:B21)</f>
        <v>891544.21999999974</v>
      </c>
      <c r="C22" s="25">
        <f t="shared" si="6"/>
        <v>898124.74439999985</v>
      </c>
      <c r="D22" s="25">
        <f t="shared" si="6"/>
        <v>904499.83808800054</v>
      </c>
      <c r="E22" s="25">
        <f t="shared" si="6"/>
        <v>910655.10741375946</v>
      </c>
      <c r="F22" s="25">
        <f t="shared" si="6"/>
        <v>916574.58710295544</v>
      </c>
      <c r="G22" s="25">
        <f t="shared" si="6"/>
        <v>922243.71971216227</v>
      </c>
      <c r="H22" s="25">
        <f t="shared" si="6"/>
        <v>927647.33439956733</v>
      </c>
      <c r="I22" s="25">
        <f t="shared" si="6"/>
        <v>932766.62498951529</v>
      </c>
      <c r="J22" s="25">
        <f t="shared" si="6"/>
        <v>937586.12730832107</v>
      </c>
      <c r="K22" s="26">
        <f t="shared" si="6"/>
        <v>942086.69576807355</v>
      </c>
    </row>
    <row r="23" spans="1:11" ht="13.15" customHeight="1">
      <c r="A23" s="24" t="str">
        <f>IF('Part III A-Sources of Funds'!$E$32 = "Neither", "", "D/S USDA/HUD Mortgage")</f>
        <v>D/S USDA/HUD Mortgage</v>
      </c>
      <c r="B23" s="286">
        <f>IF('Part III A-Sources of Funds'!$M$32="", 0,-'Part III A-Sources of Funds'!$M$32)</f>
        <v>-486766.28439441242</v>
      </c>
      <c r="C23" s="286">
        <f>IF('Part III A-Sources of Funds'!$M$32="", 0,-'Part III A-Sources of Funds'!$M$32)</f>
        <v>-486766.28439441242</v>
      </c>
      <c r="D23" s="286">
        <f>IF('Part III A-Sources of Funds'!$M$32="", 0,-'Part III A-Sources of Funds'!$M$32)</f>
        <v>-486766.28439441242</v>
      </c>
      <c r="E23" s="286">
        <f>IF('Part III A-Sources of Funds'!$M$32="", 0,-'Part III A-Sources of Funds'!$M$32)</f>
        <v>-486766.28439441242</v>
      </c>
      <c r="F23" s="286">
        <f>IF('Part III A-Sources of Funds'!$M$32="", 0,-'Part III A-Sources of Funds'!$M$32)</f>
        <v>-486766.28439441242</v>
      </c>
      <c r="G23" s="286">
        <f>IF('Part III A-Sources of Funds'!$M$32="", 0,-'Part III A-Sources of Funds'!$M$32)</f>
        <v>-486766.28439441242</v>
      </c>
      <c r="H23" s="286">
        <f>IF('Part III A-Sources of Funds'!$M$32="", 0,-'Part III A-Sources of Funds'!$M$32)</f>
        <v>-486766.28439441242</v>
      </c>
      <c r="I23" s="286">
        <f>IF('Part III A-Sources of Funds'!$M$32="", 0,-'Part III A-Sources of Funds'!$M$32)</f>
        <v>-486766.28439441242</v>
      </c>
      <c r="J23" s="286">
        <f>IF('Part III A-Sources of Funds'!$M$32="", 0,-'Part III A-Sources of Funds'!$M$32)</f>
        <v>-486766.28439441242</v>
      </c>
      <c r="K23" s="286">
        <f>IF('Part III A-Sources of Funds'!$M$32="", 0,-'Part III A-Sources of Funds'!$M$32)</f>
        <v>-486766.28439441242</v>
      </c>
    </row>
    <row r="24" spans="1:11" ht="13.15" customHeight="1">
      <c r="A24" s="24" t="str">
        <f>IF('Part III A-Sources of Funds'!$E$32="USDA 538 Loan","USDA Guaranty Fee",IF('Part III A-Sources of Funds'!$E$32="HUD Insured Loan", "HUD MIP",""))</f>
        <v>HUD MIP</v>
      </c>
      <c r="B24" s="287">
        <f>IF('Part III A-Sources of Funds'!$E$32="USDA 538 Loan", -'Part III B-USDA 538 Loan'!$C17,IF('Part III A-Sources of Funds'!$E$32="HUD Insured Loan", -'Part III C-HUD Insured Loan'!$B28,0))</f>
        <v>-32151.599999999999</v>
      </c>
      <c r="C24" s="287">
        <f>IF('Part III A-Sources of Funds'!$E$32="USDA 538 Loan", -'Part III B-USDA 538 Loan'!$C18,IF('Part III A-Sources of Funds'!$E$32="HUD Insured Loan", -'Part III C-HUD Insured Loan'!$B29,0))</f>
        <v>-31965.351523993901</v>
      </c>
      <c r="D24" s="287">
        <f>IF('Part III A-Sources of Funds'!$E$32="USDA 538 Loan", -'Part III B-USDA 538 Loan'!$C19,IF('Part III A-Sources of Funds'!$E$32="HUD Insured Loan", -'Part III C-HUD Insured Loan'!$B30,0))</f>
        <v>-31767.123208043424</v>
      </c>
      <c r="E24" s="287">
        <f>IF('Part III A-Sources of Funds'!$E$32="USDA 538 Loan", -'Part III B-USDA 538 Loan'!$C20,IF('Part III A-Sources of Funds'!$E$32="HUD Insured Loan", -'Part III C-HUD Insured Loan'!$B31,0))</f>
        <v>-31556.144487104651</v>
      </c>
      <c r="F24" s="287">
        <f>IF('Part III A-Sources of Funds'!$E$32="USDA 538 Loan", -'Part III B-USDA 538 Loan'!$C21,IF('Part III A-Sources of Funds'!$E$32="HUD Insured Loan", -'Part III C-HUD Insured Loan'!$B32,0))</f>
        <v>-31331.595231991763</v>
      </c>
      <c r="G24" s="287">
        <f>IF('Part III A-Sources of Funds'!$E$32="USDA 538 Loan", -'Part III B-USDA 538 Loan'!$C22,IF('Part III A-Sources of Funds'!$E$32="HUD Insured Loan", -'Part III C-HUD Insured Loan'!$B33,0))</f>
        <v>-31092.60256132151</v>
      </c>
      <c r="H24" s="287">
        <f>IF('Part III A-Sources of Funds'!$E$32="USDA 538 Loan", -'Part III B-USDA 538 Loan'!$C23,IF('Part III A-Sources of Funds'!$E$32="HUD Insured Loan", -'Part III C-HUD Insured Loan'!$B34,0))</f>
        <v>-30838.237448396132</v>
      </c>
      <c r="I24" s="287">
        <f>IF('Part III A-Sources of Funds'!$E$32="USDA 538 Loan", -'Part III B-USDA 538 Loan'!$C24,IF('Part III A-Sources of Funds'!$E$32="HUD Insured Loan", -'Part III C-HUD Insured Loan'!$B35,0))</f>
        <v>-30567.511109834843</v>
      </c>
      <c r="J24" s="287">
        <f>IF('Part III A-Sources of Funds'!$E$32="USDA 538 Loan", -'Part III B-USDA 538 Loan'!$C25,IF('Part III A-Sources of Funds'!$E$32="HUD Insured Loan", -'Part III C-HUD Insured Loan'!$B36,0))</f>
        <v>-30279.371161915562</v>
      </c>
      <c r="K24" s="287">
        <f>IF('Part III A-Sources of Funds'!$E$32="USDA 538 Loan", -'Part III B-USDA 538 Loan'!$C26,IF('Part III A-Sources of Funds'!$E$32="HUD Insured Loan", -'Part III C-HUD Insured Loan'!$B37,0))</f>
        <v>-29972.697529685527</v>
      </c>
    </row>
    <row r="25" spans="1:11" ht="13.15" customHeight="1">
      <c r="A25" s="24" t="str">
        <f>IF('Part III A-Sources of Funds'!$E$32 = "Neither", "D/S Mortgage A","D/S Mortgage B")</f>
        <v>D/S Mortgage B</v>
      </c>
      <c r="B25" s="1286">
        <f>IF('Part III A-Sources of Funds'!$M$33="", 0,-'Part III A-Sources of Funds'!$M$33)</f>
        <v>0</v>
      </c>
      <c r="C25" s="1286">
        <f>IF('Part III A-Sources of Funds'!$M$33="", 0,-'Part III A-Sources of Funds'!$M$33)</f>
        <v>0</v>
      </c>
      <c r="D25" s="1286">
        <f>IF('Part III A-Sources of Funds'!$M$33="", 0,-'Part III A-Sources of Funds'!$M$33)</f>
        <v>0</v>
      </c>
      <c r="E25" s="1286">
        <f>IF('Part III A-Sources of Funds'!$M$33="", 0,-'Part III A-Sources of Funds'!$M$33)</f>
        <v>0</v>
      </c>
      <c r="F25" s="1286">
        <f>IF('Part III A-Sources of Funds'!$M$33="", 0,-'Part III A-Sources of Funds'!$M$33)</f>
        <v>0</v>
      </c>
      <c r="G25" s="1286">
        <f>IF('Part III A-Sources of Funds'!$M$33="", 0,-'Part III A-Sources of Funds'!$M$33)</f>
        <v>0</v>
      </c>
      <c r="H25" s="1286">
        <f>IF('Part III A-Sources of Funds'!$M$33="", 0,-'Part III A-Sources of Funds'!$M$33)</f>
        <v>0</v>
      </c>
      <c r="I25" s="1286">
        <f>IF('Part III A-Sources of Funds'!$M$33="", 0,-'Part III A-Sources of Funds'!$M$33)</f>
        <v>0</v>
      </c>
      <c r="J25" s="1286">
        <f>IF('Part III A-Sources of Funds'!$M$33="", 0,-'Part III A-Sources of Funds'!$M$33)</f>
        <v>0</v>
      </c>
      <c r="K25" s="1286">
        <f>IF('Part III A-Sources of Funds'!$M$33="", 0,-'Part III A-Sources of Funds'!$M$33)</f>
        <v>0</v>
      </c>
    </row>
    <row r="26" spans="1:11" ht="13.15" customHeight="1">
      <c r="A26" s="24" t="str">
        <f>IF('Part III A-Sources of Funds'!$E$32 = "Neither", "D/S Mortgage B","D/S Mortgage C")</f>
        <v>D/S Mortgage C</v>
      </c>
      <c r="B26" s="1286">
        <f>IF('Part III A-Sources of Funds'!$M$34="", 0,-'Part III A-Sources of Funds'!$M$34)</f>
        <v>0</v>
      </c>
      <c r="C26" s="1286">
        <f>IF('Part III A-Sources of Funds'!$M$34="", 0,-'Part III A-Sources of Funds'!$M$34)</f>
        <v>0</v>
      </c>
      <c r="D26" s="1286">
        <f>IF('Part III A-Sources of Funds'!$M$34="", 0,-'Part III A-Sources of Funds'!$M$34)</f>
        <v>0</v>
      </c>
      <c r="E26" s="1286">
        <f>IF('Part III A-Sources of Funds'!$M$34="", 0,-'Part III A-Sources of Funds'!$M$34)</f>
        <v>0</v>
      </c>
      <c r="F26" s="1286">
        <f>IF('Part III A-Sources of Funds'!$M$34="", 0,-'Part III A-Sources of Funds'!$M$34)</f>
        <v>0</v>
      </c>
      <c r="G26" s="1286">
        <f>IF('Part III A-Sources of Funds'!$M$34="", 0,-'Part III A-Sources of Funds'!$M$34)</f>
        <v>0</v>
      </c>
      <c r="H26" s="1286">
        <f>IF('Part III A-Sources of Funds'!$M$34="", 0,-'Part III A-Sources of Funds'!$M$34)</f>
        <v>0</v>
      </c>
      <c r="I26" s="1286">
        <f>IF('Part III A-Sources of Funds'!$M$34="", 0,-'Part III A-Sources of Funds'!$M$34)</f>
        <v>0</v>
      </c>
      <c r="J26" s="1286">
        <f>IF('Part III A-Sources of Funds'!$M$34="", 0,-'Part III A-Sources of Funds'!$M$34)</f>
        <v>0</v>
      </c>
      <c r="K26" s="1286">
        <f>IF('Part III A-Sources of Funds'!$M$34="", 0,-'Part III A-Sources of Funds'!$M$34)</f>
        <v>0</v>
      </c>
    </row>
    <row r="27" spans="1:11" ht="13.15" customHeight="1">
      <c r="A27" s="24" t="s">
        <v>1361</v>
      </c>
      <c r="B27" s="1286">
        <f>IF('Part III A-Sources of Funds'!$M$35="", 0,-'Part III A-Sources of Funds'!$M$35)</f>
        <v>-54508.615045712293</v>
      </c>
      <c r="C27" s="1286">
        <f>IF('Part III A-Sources of Funds'!$M$35="", 0,-'Part III A-Sources of Funds'!$M$35)</f>
        <v>-54508.615045712293</v>
      </c>
      <c r="D27" s="1286">
        <f>IF('Part III A-Sources of Funds'!$M$35="", 0,-'Part III A-Sources of Funds'!$M$35)</f>
        <v>-54508.615045712293</v>
      </c>
      <c r="E27" s="1286">
        <f>IF('Part III A-Sources of Funds'!$M$35="", 0,-'Part III A-Sources of Funds'!$M$35)</f>
        <v>-54508.615045712293</v>
      </c>
      <c r="F27" s="1286">
        <f>IF('Part III A-Sources of Funds'!$M$35="", 0,-'Part III A-Sources of Funds'!$M$35)</f>
        <v>-54508.615045712293</v>
      </c>
      <c r="G27" s="1286">
        <f>IF('Part III A-Sources of Funds'!$M$35="", 0,-'Part III A-Sources of Funds'!$M$35)</f>
        <v>-54508.615045712293</v>
      </c>
      <c r="H27" s="1286">
        <f>IF('Part III A-Sources of Funds'!$M$35="", 0,-'Part III A-Sources of Funds'!$M$35)</f>
        <v>-54508.615045712293</v>
      </c>
      <c r="I27" s="1286">
        <f>IF('Part III A-Sources of Funds'!$M$35="", 0,-'Part III A-Sources of Funds'!$M$35)</f>
        <v>-54508.615045712293</v>
      </c>
      <c r="J27" s="1286">
        <f>IF('Part III A-Sources of Funds'!$M$35="", 0,-'Part III A-Sources of Funds'!$M$35)</f>
        <v>-54508.615045712293</v>
      </c>
      <c r="K27" s="1286">
        <f>IF('Part III A-Sources of Funds'!$M$35="", 0,-'Part III A-Sources of Funds'!$M$35)</f>
        <v>-54508.615045712293</v>
      </c>
    </row>
    <row r="28" spans="1:11" ht="13.15" customHeight="1">
      <c r="A28" s="24" t="s">
        <v>806</v>
      </c>
      <c r="B28" s="1286">
        <f>IF('Part III A-Sources of Funds'!$M$36="", 0,-'Part III A-Sources of Funds'!$M$36)</f>
        <v>0</v>
      </c>
      <c r="C28" s="1286">
        <f>IF('Part III A-Sources of Funds'!$M$36="", 0,-'Part III A-Sources of Funds'!$M$36)</f>
        <v>0</v>
      </c>
      <c r="D28" s="1286">
        <f>IF('Part III A-Sources of Funds'!$M$36="", 0,-'Part III A-Sources of Funds'!$M$36)</f>
        <v>0</v>
      </c>
      <c r="E28" s="1286">
        <f>IF('Part III A-Sources of Funds'!$M$36="", 0,-'Part III A-Sources of Funds'!$M$36)</f>
        <v>0</v>
      </c>
      <c r="F28" s="1286">
        <f>IF('Part III A-Sources of Funds'!$M$36="", 0,-'Part III A-Sources of Funds'!$M$36)</f>
        <v>0</v>
      </c>
      <c r="G28" s="1286">
        <f>IF('Part III A-Sources of Funds'!$M$36="", 0,-'Part III A-Sources of Funds'!$M$36)</f>
        <v>0</v>
      </c>
      <c r="H28" s="1286">
        <f>IF('Part III A-Sources of Funds'!$M$36="", 0,-'Part III A-Sources of Funds'!$M$36)</f>
        <v>0</v>
      </c>
      <c r="I28" s="1286">
        <f>IF('Part III A-Sources of Funds'!$M$36="", 0,-'Part III A-Sources of Funds'!$M$36)</f>
        <v>0</v>
      </c>
      <c r="J28" s="1286">
        <f>IF('Part III A-Sources of Funds'!$M$36="", 0,-'Part III A-Sources of Funds'!$M$36)</f>
        <v>0</v>
      </c>
      <c r="K28" s="1286">
        <f>IF('Part III A-Sources of Funds'!$M$36="", 0,-'Part III A-Sources of Funds'!$M$36)</f>
        <v>0</v>
      </c>
    </row>
    <row r="29" spans="1:11" ht="13.15" customHeight="1">
      <c r="A29" s="24" t="s">
        <v>1335</v>
      </c>
      <c r="B29" s="1287"/>
      <c r="C29" s="1287"/>
      <c r="D29" s="1287"/>
      <c r="E29" s="1287"/>
      <c r="F29" s="1287"/>
      <c r="G29" s="1287"/>
      <c r="H29" s="1287"/>
      <c r="I29" s="1287"/>
      <c r="J29" s="1287"/>
      <c r="K29" s="1287"/>
    </row>
    <row r="30" spans="1:11" ht="13.15" customHeight="1">
      <c r="A30" s="24" t="s">
        <v>1806</v>
      </c>
      <c r="B30" s="1286">
        <f>-$G$5</f>
        <v>-10000</v>
      </c>
      <c r="C30" s="1286">
        <f t="shared" ref="C30:K30" si="7">+B30*1.03</f>
        <v>-10300</v>
      </c>
      <c r="D30" s="1286">
        <f t="shared" si="7"/>
        <v>-10609</v>
      </c>
      <c r="E30" s="1286">
        <f t="shared" si="7"/>
        <v>-10927.27</v>
      </c>
      <c r="F30" s="1286">
        <f t="shared" si="7"/>
        <v>-11255.088100000001</v>
      </c>
      <c r="G30" s="1286">
        <f t="shared" si="7"/>
        <v>-11592.740743</v>
      </c>
      <c r="H30" s="1286">
        <f t="shared" si="7"/>
        <v>-11940.52296529</v>
      </c>
      <c r="I30" s="1286">
        <f t="shared" si="7"/>
        <v>-12298.7386542487</v>
      </c>
      <c r="J30" s="1286">
        <f t="shared" si="7"/>
        <v>-12667.700813876161</v>
      </c>
      <c r="K30" s="1286">
        <f t="shared" si="7"/>
        <v>-13047.731838292446</v>
      </c>
    </row>
    <row r="31" spans="1:11" ht="13.15" customHeight="1">
      <c r="A31" s="24" t="s">
        <v>1863</v>
      </c>
      <c r="B31" s="1286">
        <f>-'Part III A-Sources of Funds'!M37</f>
        <v>-308118</v>
      </c>
      <c r="C31" s="1286">
        <v>-124771</v>
      </c>
      <c r="D31" s="1286">
        <v>0</v>
      </c>
      <c r="E31" s="1286">
        <v>0</v>
      </c>
      <c r="F31" s="1286">
        <v>0</v>
      </c>
      <c r="G31" s="1286">
        <v>0</v>
      </c>
      <c r="H31" s="1286">
        <v>0</v>
      </c>
      <c r="I31" s="1286">
        <v>0</v>
      </c>
      <c r="J31" s="1286">
        <v>0</v>
      </c>
      <c r="K31" s="1286">
        <v>0</v>
      </c>
    </row>
    <row r="32" spans="1:11" ht="13.15" customHeight="1">
      <c r="A32" s="24" t="s">
        <v>1807</v>
      </c>
      <c r="B32" s="1288">
        <f>-$G$6</f>
        <v>0</v>
      </c>
      <c r="C32" s="1288">
        <f t="shared" ref="C32:K32" si="8">+B32</f>
        <v>0</v>
      </c>
      <c r="D32" s="1288">
        <f t="shared" si="8"/>
        <v>0</v>
      </c>
      <c r="E32" s="1288">
        <f t="shared" si="8"/>
        <v>0</v>
      </c>
      <c r="F32" s="1288">
        <f t="shared" si="8"/>
        <v>0</v>
      </c>
      <c r="G32" s="1288">
        <f t="shared" si="8"/>
        <v>0</v>
      </c>
      <c r="H32" s="1288">
        <f t="shared" si="8"/>
        <v>0</v>
      </c>
      <c r="I32" s="1288">
        <f t="shared" si="8"/>
        <v>0</v>
      </c>
      <c r="J32" s="1288">
        <f t="shared" si="8"/>
        <v>0</v>
      </c>
      <c r="K32" s="1288">
        <f t="shared" si="8"/>
        <v>0</v>
      </c>
    </row>
    <row r="33" spans="1:11" ht="13.15" customHeight="1">
      <c r="A33" s="24" t="s">
        <v>1808</v>
      </c>
      <c r="B33" s="25">
        <f t="shared" ref="B33:K33" si="9">SUM(B22:B32)</f>
        <v>-0.27944012492662296</v>
      </c>
      <c r="C33" s="25">
        <f t="shared" si="9"/>
        <v>189813.49343588128</v>
      </c>
      <c r="D33" s="25">
        <f t="shared" si="9"/>
        <v>320848.81543983246</v>
      </c>
      <c r="E33" s="25">
        <f t="shared" si="9"/>
        <v>326896.79348653008</v>
      </c>
      <c r="F33" s="25">
        <f t="shared" si="9"/>
        <v>332713.00433083897</v>
      </c>
      <c r="G33" s="25">
        <f t="shared" si="9"/>
        <v>338283.47696771607</v>
      </c>
      <c r="H33" s="25">
        <f t="shared" si="9"/>
        <v>343593.67454575648</v>
      </c>
      <c r="I33" s="25">
        <f t="shared" si="9"/>
        <v>348625.47578530706</v>
      </c>
      <c r="J33" s="25">
        <f t="shared" si="9"/>
        <v>353364.15589240467</v>
      </c>
      <c r="K33" s="23">
        <f t="shared" si="9"/>
        <v>357791.36695997091</v>
      </c>
    </row>
    <row r="34" spans="1:11" ht="13.15" customHeight="1">
      <c r="A34" s="24" t="str">
        <f>IF('Part III A-Sources of Funds'!$E$32 = "Neither", "", "DCR First Mortgage")</f>
        <v>DCR First Mortgage</v>
      </c>
      <c r="B34" s="27">
        <f>IF(B23=0,"",-B22/B23)</f>
        <v>1.8315652677324867</v>
      </c>
      <c r="C34" s="27">
        <f t="shared" ref="C34:K34" si="10">IF(C23=0,"",-C22/C23)</f>
        <v>1.8450841259832937</v>
      </c>
      <c r="D34" s="27">
        <f t="shared" si="10"/>
        <v>1.8581809527200346</v>
      </c>
      <c r="E34" s="27">
        <f t="shared" si="10"/>
        <v>1.8708261780018485</v>
      </c>
      <c r="F34" s="27">
        <f t="shared" si="10"/>
        <v>1.8829870031842262</v>
      </c>
      <c r="G34" s="27">
        <f t="shared" si="10"/>
        <v>1.8946335218338484</v>
      </c>
      <c r="H34" s="27">
        <f t="shared" si="10"/>
        <v>1.905734567367698</v>
      </c>
      <c r="I34" s="27">
        <f t="shared" si="10"/>
        <v>1.9162515048674198</v>
      </c>
      <c r="J34" s="27">
        <f t="shared" si="10"/>
        <v>1.9261525651366243</v>
      </c>
      <c r="K34" s="28">
        <f t="shared" si="10"/>
        <v>1.9353984159772422</v>
      </c>
    </row>
    <row r="35" spans="1:11" ht="13.15" customHeight="1">
      <c r="A35" s="24" t="str">
        <f>IF('Part III A-Sources of Funds'!$E$32 = "Neither", "", "DCR USDA/HUD Fee")</f>
        <v>DCR USDA/HUD Fee</v>
      </c>
      <c r="B35" s="27">
        <f>IF(OR(B24=0,AND(B24=0,B23=0)),"",-B22/(B23+B24))</f>
        <v>1.7180834324884557</v>
      </c>
      <c r="C35" s="27">
        <f t="shared" ref="C35:K35" si="11">IF(OR(C24=0,AND(C24=0,C23=0)),"",-C22/(C23+C24))</f>
        <v>1.7313861006566218</v>
      </c>
      <c r="D35" s="27">
        <f t="shared" si="11"/>
        <v>1.7443424566801562</v>
      </c>
      <c r="E35" s="27">
        <f t="shared" si="11"/>
        <v>1.7569278438883171</v>
      </c>
      <c r="F35" s="27">
        <f t="shared" si="11"/>
        <v>1.7691147235805891</v>
      </c>
      <c r="G35" s="27">
        <f t="shared" si="11"/>
        <v>1.7808784264254496</v>
      </c>
      <c r="H35" s="27">
        <f t="shared" si="11"/>
        <v>1.7921932580822482</v>
      </c>
      <c r="I35" s="27">
        <f t="shared" si="11"/>
        <v>1.803026659181127</v>
      </c>
      <c r="J35" s="27">
        <f t="shared" si="11"/>
        <v>1.813352684105821</v>
      </c>
      <c r="K35" s="28">
        <f t="shared" si="11"/>
        <v>1.8231384291159469</v>
      </c>
    </row>
    <row r="36" spans="1:11" ht="13.15" customHeight="1">
      <c r="A36" s="24" t="str">
        <f>IF('Part III A-Sources of Funds'!$E$32 = "Neither", "DCR First Mortgage", "DCR Second Mortgage")</f>
        <v>DCR Second Mortgage</v>
      </c>
      <c r="B36" s="27" t="str">
        <f>IF(OR(B25=0,AND(B25=0,B24=0,B23=0)),"",-B22/(B23+B24+B25))</f>
        <v/>
      </c>
      <c r="C36" s="27" t="str">
        <f t="shared" ref="C36:K36" si="12">IF(OR(C25=0,AND(C25=0,C24=0,C23=0)),"",-C22/(C23+C24+C25))</f>
        <v/>
      </c>
      <c r="D36" s="27" t="str">
        <f t="shared" si="12"/>
        <v/>
      </c>
      <c r="E36" s="27" t="str">
        <f t="shared" si="12"/>
        <v/>
      </c>
      <c r="F36" s="27" t="str">
        <f t="shared" si="12"/>
        <v/>
      </c>
      <c r="G36" s="27" t="str">
        <f t="shared" si="12"/>
        <v/>
      </c>
      <c r="H36" s="27" t="str">
        <f t="shared" si="12"/>
        <v/>
      </c>
      <c r="I36" s="27" t="str">
        <f t="shared" si="12"/>
        <v/>
      </c>
      <c r="J36" s="27" t="str">
        <f t="shared" si="12"/>
        <v/>
      </c>
      <c r="K36" s="28" t="str">
        <f t="shared" si="12"/>
        <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1362</v>
      </c>
      <c r="B38" s="27">
        <f>IF(OR(B27=0,AND(B23=0,B24=0,B25=0,B26=0,B27=0)),"",-B22/(B23+B24+B25+B26+B27))</f>
        <v>1.5547663403600549</v>
      </c>
      <c r="C38" s="27">
        <f t="shared" ref="C38:K38" si="14">IF(OR(C27=0,AND(C23=0,C24=0,C25=0,C26=0,C27=0)),"",-C22/(C23+C24+C25+C26+C27))</f>
        <v>1.5667510138889689</v>
      </c>
      <c r="D38" s="27">
        <f t="shared" si="14"/>
        <v>1.5784179908972196</v>
      </c>
      <c r="E38" s="27">
        <f t="shared" si="14"/>
        <v>1.5897446848733396</v>
      </c>
      <c r="F38" s="27">
        <f t="shared" si="14"/>
        <v>1.6007058872564841</v>
      </c>
      <c r="G38" s="27">
        <f t="shared" si="14"/>
        <v>1.6112789710933519</v>
      </c>
      <c r="H38" s="27">
        <f t="shared" si="14"/>
        <v>1.6214403665761725</v>
      </c>
      <c r="I38" s="27">
        <f t="shared" si="14"/>
        <v>1.6311602773436185</v>
      </c>
      <c r="J38" s="27">
        <f t="shared" si="14"/>
        <v>1.6404148749002003</v>
      </c>
      <c r="K38" s="28">
        <f t="shared" si="14"/>
        <v>1.649174019751477</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9">
        <f>IF(OR(B20="Choose mgt fee",B20="Choose One!"),"",(B14+B15+B16+B17+B18) / -(B19+B20+B21))</f>
        <v>1.7241627015005627</v>
      </c>
      <c r="C40" s="379">
        <f t="shared" ref="C40:K40" si="16">IF(OR(C20="Choose mgt fee",C20="Choose One!"),"",(C14+C15+C16+C17+C18) / -(C19+C20+C21))</f>
        <v>1.7088530875719541</v>
      </c>
      <c r="D40" s="379">
        <f t="shared" si="16"/>
        <v>1.6936674307190211</v>
      </c>
      <c r="E40" s="379">
        <f t="shared" si="16"/>
        <v>1.6786047045940791</v>
      </c>
      <c r="F40" s="379">
        <f t="shared" si="16"/>
        <v>1.6636627323099664</v>
      </c>
      <c r="G40" s="379">
        <f t="shared" si="16"/>
        <v>1.6488418832363323</v>
      </c>
      <c r="H40" s="379">
        <f t="shared" si="16"/>
        <v>1.634142387495535</v>
      </c>
      <c r="I40" s="379">
        <f t="shared" si="16"/>
        <v>1.6195611199369424</v>
      </c>
      <c r="J40" s="379">
        <f t="shared" si="16"/>
        <v>1.6050994595841137</v>
      </c>
      <c r="K40" s="380">
        <f t="shared" si="16"/>
        <v>1.590755505339978</v>
      </c>
    </row>
    <row r="41" spans="1:11" ht="13.15" customHeight="1">
      <c r="A41" s="24" t="str">
        <f>IF('Part III A-Sources of Funds'!$E$32 = "Neither", "", "Mortgage A Balance")</f>
        <v>Mortgage A Balance</v>
      </c>
      <c r="B41" s="1289">
        <f>IF('Part III A-Sources of Funds'!$H$32="","",-FV('Part III A-Sources of Funds'!$J$32/12,12,B23/12,'Part III A-Sources of Funds'!H32))</f>
        <v>7103411.4497764222</v>
      </c>
      <c r="C41" s="1289">
        <f>IF('Part III A-Sources of Funds'!$H$32="","",-FV('Part III A-Sources of Funds'!$J$32/12,12,C23/12,B41))</f>
        <v>7059360.7128985375</v>
      </c>
      <c r="D41" s="1289">
        <f>IF('Part III A-Sources of Funds'!$H$32="","",-FV('Part III A-Sources of Funds'!$J$32/12,12,D23/12,C41))</f>
        <v>7012476.5526899211</v>
      </c>
      <c r="E41" s="1289">
        <f>IF('Part III A-Sources of Funds'!$H$32="","",-FV('Part III A-Sources of Funds'!$J$32/12,12,E23/12,D41))</f>
        <v>6962576.7182203913</v>
      </c>
      <c r="F41" s="1289">
        <f>IF('Part III A-Sources of Funds'!$H$32="","",-FV('Part III A-Sources of Funds'!$J$32/12,12,F23/12,E41))</f>
        <v>6909467.235849225</v>
      </c>
      <c r="G41" s="1289">
        <f>IF('Part III A-Sources of Funds'!$H$32="","",-FV('Part III A-Sources of Funds'!$J$32/12,12,G23/12,F41))</f>
        <v>6852941.6551991412</v>
      </c>
      <c r="H41" s="1289">
        <f>IF('Part III A-Sources of Funds'!$H$32="","",-FV('Part III A-Sources of Funds'!$J$32/12,12,H23/12,G41))</f>
        <v>6792780.2466299664</v>
      </c>
      <c r="I41" s="1289">
        <f>IF('Part III A-Sources of Funds'!$H$32="","",-FV('Part III A-Sources of Funds'!$J$32/12,12,I23/12,H41))</f>
        <v>6728749.1470923489</v>
      </c>
      <c r="J41" s="1289">
        <f>IF('Part III A-Sources of Funds'!$H$32="","",-FV('Part III A-Sources of Funds'!$J$32/12,12,J23/12,I41))</f>
        <v>6660599.4510412319</v>
      </c>
      <c r="K41" s="1289">
        <f>IF('Part III A-Sources of Funds'!$H$32="","",-FV('Part III A-Sources of Funds'!$J$32/12,12,K23/12,J41))</f>
        <v>6588066.2428752361</v>
      </c>
    </row>
    <row r="42" spans="1:11" ht="13.15" customHeight="1">
      <c r="A42" s="24" t="str">
        <f>IF('Part III A-Sources of Funds'!$E$32 = "Neither", "Mortgage A Balance", "Mortgage B Balance")</f>
        <v>Mortgage B Balance</v>
      </c>
      <c r="B42" s="1286" t="str">
        <f>IF('Part III A-Sources of Funds'!$H$33="","",-FV('Part III A-Sources of Funds'!$J$33/12,12,B25/12,'Part III A-Sources of Funds'!H33))</f>
        <v/>
      </c>
      <c r="C42" s="1286" t="str">
        <f>IF('Part III A-Sources of Funds'!$H$33="","",-FV('Part III A-Sources of Funds'!$J$33/12,12,C25/12,B42))</f>
        <v/>
      </c>
      <c r="D42" s="1286" t="str">
        <f>IF('Part III A-Sources of Funds'!$H$33="","",-FV('Part III A-Sources of Funds'!$J$33/12,12,D25/12,C42))</f>
        <v/>
      </c>
      <c r="E42" s="1286" t="str">
        <f>IF('Part III A-Sources of Funds'!$H$33="","",-FV('Part III A-Sources of Funds'!$J$33/12,12,E25/12,D42))</f>
        <v/>
      </c>
      <c r="F42" s="1286" t="str">
        <f>IF('Part III A-Sources of Funds'!$H$33="","",-FV('Part III A-Sources of Funds'!$J$33/12,12,F25/12,E42))</f>
        <v/>
      </c>
      <c r="G42" s="1286" t="str">
        <f>IF('Part III A-Sources of Funds'!$H$33="","",-FV('Part III A-Sources of Funds'!$J$33/12,12,G25/12,F42))</f>
        <v/>
      </c>
      <c r="H42" s="1286" t="str">
        <f>IF('Part III A-Sources of Funds'!$H$33="","",-FV('Part III A-Sources of Funds'!$J$33/12,12,H25/12,G42))</f>
        <v/>
      </c>
      <c r="I42" s="1286" t="str">
        <f>IF('Part III A-Sources of Funds'!$H$33="","",-FV('Part III A-Sources of Funds'!$J$33/12,12,I25/12,H42))</f>
        <v/>
      </c>
      <c r="J42" s="1286" t="str">
        <f>IF('Part III A-Sources of Funds'!$H$33="","",-FV('Part III A-Sources of Funds'!$J$33/12,12,J25/12,I42))</f>
        <v/>
      </c>
      <c r="K42" s="1286" t="str">
        <f>IF('Part III A-Sources of Funds'!$H$33="","",-FV('Part III A-Sources of Funds'!$J$33/12,12,K25/12,J42))</f>
        <v/>
      </c>
    </row>
    <row r="43" spans="1:11" ht="13.15" customHeight="1">
      <c r="A43" s="24" t="str">
        <f>IF('Part III A-Sources of Funds'!$E$32 = "Neither", "Mortgage B Balance", "Mortgage C Balance")</f>
        <v>Mortgage C Balance</v>
      </c>
      <c r="B43" s="1286" t="str">
        <f>IF('Part III A-Sources of Funds'!$H$34="","",-FV('Part III A-Sources of Funds'!$J$34/12,12,B26/12,'Part III A-Sources of Funds'!H34))</f>
        <v/>
      </c>
      <c r="C43" s="1286" t="str">
        <f>IF('Part III A-Sources of Funds'!$H$34="","",-FV('Part III A-Sources of Funds'!$J$34/12,12,C26/12,B43))</f>
        <v/>
      </c>
      <c r="D43" s="1286" t="str">
        <f>IF('Part III A-Sources of Funds'!$H$34="","",-FV('Part III A-Sources of Funds'!$J$34/12,12,D26/12,C43))</f>
        <v/>
      </c>
      <c r="E43" s="1286" t="str">
        <f>IF('Part III A-Sources of Funds'!$H$34="","",-FV('Part III A-Sources of Funds'!$J$34/12,12,E26/12,D43))</f>
        <v/>
      </c>
      <c r="F43" s="1286" t="str">
        <f>IF('Part III A-Sources of Funds'!$H$34="","",-FV('Part III A-Sources of Funds'!$J$34/12,12,F26/12,E43))</f>
        <v/>
      </c>
      <c r="G43" s="1286" t="str">
        <f>IF('Part III A-Sources of Funds'!$H$34="","",-FV('Part III A-Sources of Funds'!$J$34/12,12,G26/12,F43))</f>
        <v/>
      </c>
      <c r="H43" s="1286" t="str">
        <f>IF('Part III A-Sources of Funds'!$H$34="","",-FV('Part III A-Sources of Funds'!$J$34/12,12,H26/12,G43))</f>
        <v/>
      </c>
      <c r="I43" s="1286" t="str">
        <f>IF('Part III A-Sources of Funds'!$H$34="","",-FV('Part III A-Sources of Funds'!$J$34/12,12,I26/12,H43))</f>
        <v/>
      </c>
      <c r="J43" s="1286" t="str">
        <f>IF('Part III A-Sources of Funds'!$H$34="","",-FV('Part III A-Sources of Funds'!$J$34/12,12,J26/12,I43))</f>
        <v/>
      </c>
      <c r="K43" s="1286" t="str">
        <f>IF('Part III A-Sources of Funds'!$H$34="","",-FV('Part III A-Sources of Funds'!$J$34/12,12,K26/12,J43))</f>
        <v/>
      </c>
    </row>
    <row r="44" spans="1:11" ht="13.15" customHeight="1">
      <c r="A44" s="24" t="s">
        <v>1363</v>
      </c>
      <c r="B44" s="1286">
        <f>IF('Part III A-Sources of Funds'!$H$35="","",-FV('Part III A-Sources of Funds'!$J$35/12,12,B27/12,'Part III A-Sources of Funds'!H35))</f>
        <v>1475265.4698328164</v>
      </c>
      <c r="C44" s="1286">
        <f>IF('Part III A-Sources of Funds'!$H$35="","",-FV('Part III A-Sources of Funds'!$J$35/12,12,C27/12,B44))</f>
        <v>1450031.6891111236</v>
      </c>
      <c r="D44" s="1286">
        <f>IF('Part III A-Sources of Funds'!$H$35="","",-FV('Part III A-Sources of Funds'!$J$35/12,12,D27/12,C44))</f>
        <v>1424288.5807841551</v>
      </c>
      <c r="E44" s="1286">
        <f>IF('Part III A-Sources of Funds'!$H$35="","",-FV('Part III A-Sources of Funds'!$J$35/12,12,E27/12,D44))</f>
        <v>1398025.8644023677</v>
      </c>
      <c r="F44" s="1286">
        <f>IF('Part III A-Sources of Funds'!$H$35="","",-FV('Part III A-Sources of Funds'!$J$35/12,12,F27/12,E44))</f>
        <v>1371233.0520119679</v>
      </c>
      <c r="G44" s="1286">
        <f>IF('Part III A-Sources of Funds'!$H$35="","",-FV('Part III A-Sources of Funds'!$J$35/12,12,G27/12,F44))</f>
        <v>1343899.4439665724</v>
      </c>
      <c r="H44" s="1286">
        <f>IF('Part III A-Sources of Funds'!$H$35="","",-FV('Part III A-Sources of Funds'!$J$35/12,12,H27/12,G44))</f>
        <v>1316014.1246543298</v>
      </c>
      <c r="I44" s="1286">
        <f>IF('Part III A-Sources of Funds'!$H$35="","",-FV('Part III A-Sources of Funds'!$J$35/12,12,I27/12,H44))</f>
        <v>1287565.9581387967</v>
      </c>
      <c r="J44" s="1286">
        <f>IF('Part III A-Sources of Funds'!$H$35="","",-FV('Part III A-Sources of Funds'!$J$35/12,12,J27/12,I44))</f>
        <v>1258543.5837118276</v>
      </c>
      <c r="K44" s="1286">
        <f>IF('Part III A-Sources of Funds'!$H$35="","",-FV('Part III A-Sources of Funds'!$J$35/12,12,K27/12,J44))</f>
        <v>1228935.4113567029</v>
      </c>
    </row>
    <row r="45" spans="1:11" ht="13.15" customHeight="1">
      <c r="A45" s="24" t="s">
        <v>1363</v>
      </c>
      <c r="B45" s="1286" t="str">
        <f>IF('Part III A-Sources of Funds'!$H$36="","",-FV('Part III A-Sources of Funds'!$J$36/12,12,B28/12,'Part III A-Sources of Funds'!$H$36))</f>
        <v/>
      </c>
      <c r="C45" s="1286" t="str">
        <f>IF('Part III A-Sources of Funds'!$H$36="","",-FV('Part III A-Sources of Funds'!$J$36/12,12,C28/12,B45))</f>
        <v/>
      </c>
      <c r="D45" s="1286" t="str">
        <f>IF('Part III A-Sources of Funds'!$H$36="","",-FV('Part III A-Sources of Funds'!$J$36/12,12,D28/12,C45))</f>
        <v/>
      </c>
      <c r="E45" s="1286" t="str">
        <f>IF('Part III A-Sources of Funds'!$H$36="","",-FV('Part III A-Sources of Funds'!$J$36/12,12,E28/12,D45))</f>
        <v/>
      </c>
      <c r="F45" s="1286" t="str">
        <f>IF('Part III A-Sources of Funds'!$H$36="","",-FV('Part III A-Sources of Funds'!$J$36/12,12,F28/12,E45))</f>
        <v/>
      </c>
      <c r="G45" s="1286" t="str">
        <f>IF('Part III A-Sources of Funds'!$H$36="","",-FV('Part III A-Sources of Funds'!$J$36/12,12,G28/12,F45))</f>
        <v/>
      </c>
      <c r="H45" s="1286" t="str">
        <f>IF('Part III A-Sources of Funds'!$H$36="","",-FV('Part III A-Sources of Funds'!$J$36/12,12,H28/12,G45))</f>
        <v/>
      </c>
      <c r="I45" s="1286" t="str">
        <f>IF('Part III A-Sources of Funds'!$H$36="","",-FV('Part III A-Sources of Funds'!$J$36/12,12,I28/12,H45))</f>
        <v/>
      </c>
      <c r="J45" s="1286" t="str">
        <f>IF('Part III A-Sources of Funds'!$H$36="","",-FV('Part III A-Sources of Funds'!$J$36/12,12,J28/12,I45))</f>
        <v/>
      </c>
      <c r="K45" s="1286" t="str">
        <f>IF('Part III A-Sources of Funds'!$H$36="","",-FV('Part III A-Sources of Funds'!$J$36/12,12,K28/12,J45))</f>
        <v/>
      </c>
    </row>
    <row r="46" spans="1:11" ht="13.15" customHeight="1">
      <c r="A46" s="29" t="s">
        <v>1898</v>
      </c>
      <c r="B46" s="1288">
        <f>IF('Part III A-Sources of Funds'!$H$37="","",-FV('Part III A-Sources of Funds'!$J$37/12,12,B31/12,'Part III A-Sources of Funds'!H37))</f>
        <v>124771</v>
      </c>
      <c r="C46" s="1288">
        <f>IF('Part III A-Sources of Funds'!$H$37="","",-FV('Part III A-Sources of Funds'!$J$37/12,12,C31/12,B46))</f>
        <v>0</v>
      </c>
      <c r="D46" s="1288">
        <f>IF('Part III A-Sources of Funds'!$H$37="","",-FV('Part III A-Sources of Funds'!$J$37/12,12,D31/12,C46))</f>
        <v>0</v>
      </c>
      <c r="E46" s="1288">
        <f>IF('Part III A-Sources of Funds'!$H$37="","",-FV('Part III A-Sources of Funds'!$J$37/12,12,E31/12,D46))</f>
        <v>0</v>
      </c>
      <c r="F46" s="1288">
        <f>IF('Part III A-Sources of Funds'!$H$37="","",-FV('Part III A-Sources of Funds'!$J$37/12,12,F31/12,E46))</f>
        <v>0</v>
      </c>
      <c r="G46" s="1288">
        <f>IF('Part III A-Sources of Funds'!$H$37="","",-FV('Part III A-Sources of Funds'!$J$37/12,12,G31/12,F46))</f>
        <v>0</v>
      </c>
      <c r="H46" s="1288">
        <f>IF('Part III A-Sources of Funds'!$H$37="","",-FV('Part III A-Sources of Funds'!$J$37/12,12,H31/12,G46))</f>
        <v>0</v>
      </c>
      <c r="I46" s="1288">
        <f>IF('Part III A-Sources of Funds'!$H$37="","",-FV('Part III A-Sources of Funds'!$J$37/12,12,I31/12,H46))</f>
        <v>0</v>
      </c>
      <c r="J46" s="1288">
        <f>IF('Part III A-Sources of Funds'!$H$37="","",-FV('Part III A-Sources of Funds'!$J$37/12,12,J31/12,I46))</f>
        <v>0</v>
      </c>
      <c r="K46" s="1288">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3641</v>
      </c>
      <c r="B49" s="22">
        <f t="shared" ref="B49:K49" si="18">$B$14*(1+$B$5)^(B48-1)</f>
        <v>2727743.8136222679</v>
      </c>
      <c r="C49" s="22">
        <f t="shared" si="18"/>
        <v>2782298.689894713</v>
      </c>
      <c r="D49" s="22">
        <f t="shared" si="18"/>
        <v>2837944.6636926075</v>
      </c>
      <c r="E49" s="22">
        <f t="shared" si="18"/>
        <v>2894703.5569664594</v>
      </c>
      <c r="F49" s="22">
        <f t="shared" si="18"/>
        <v>2952597.628105789</v>
      </c>
      <c r="G49" s="22">
        <f t="shared" si="18"/>
        <v>3011649.5806679041</v>
      </c>
      <c r="H49" s="22">
        <f t="shared" si="18"/>
        <v>3071882.5722812624</v>
      </c>
      <c r="I49" s="22">
        <f t="shared" si="18"/>
        <v>3133320.2237268882</v>
      </c>
      <c r="J49" s="22">
        <f t="shared" si="18"/>
        <v>3195986.6282014255</v>
      </c>
      <c r="K49" s="23">
        <f t="shared" si="18"/>
        <v>3259906.3607654539</v>
      </c>
    </row>
    <row r="50" spans="1:11" ht="13.15" customHeight="1">
      <c r="A50" s="24" t="s">
        <v>1631</v>
      </c>
      <c r="B50" s="25">
        <f t="shared" ref="B50:K50" si="19">$B$15*(1+$B$5)^(B48-1)</f>
        <v>54554.876272445363</v>
      </c>
      <c r="C50" s="25">
        <f t="shared" si="19"/>
        <v>55645.973797894258</v>
      </c>
      <c r="D50" s="25">
        <f t="shared" si="19"/>
        <v>56758.893273852154</v>
      </c>
      <c r="E50" s="25">
        <f t="shared" si="19"/>
        <v>57894.071139329193</v>
      </c>
      <c r="F50" s="25">
        <f t="shared" si="19"/>
        <v>59051.952562115781</v>
      </c>
      <c r="G50" s="25">
        <f t="shared" si="19"/>
        <v>60232.991613358077</v>
      </c>
      <c r="H50" s="25">
        <f t="shared" si="19"/>
        <v>61437.651445625248</v>
      </c>
      <c r="I50" s="25">
        <f t="shared" si="19"/>
        <v>62666.404474537761</v>
      </c>
      <c r="J50" s="25">
        <f t="shared" si="19"/>
        <v>63919.732564028513</v>
      </c>
      <c r="K50" s="26">
        <f t="shared" si="19"/>
        <v>65198.127215309076</v>
      </c>
    </row>
    <row r="51" spans="1:11" ht="13.15" customHeight="1">
      <c r="A51" s="24" t="s">
        <v>3642</v>
      </c>
      <c r="B51" s="25">
        <f t="shared" ref="B51:K51" si="20">-(B49+B50)*$B$8</f>
        <v>-194760.90829262996</v>
      </c>
      <c r="C51" s="25">
        <f t="shared" si="20"/>
        <v>-198656.12645848253</v>
      </c>
      <c r="D51" s="25">
        <f t="shared" si="20"/>
        <v>-202629.24898765222</v>
      </c>
      <c r="E51" s="25">
        <f t="shared" si="20"/>
        <v>-206681.83396740523</v>
      </c>
      <c r="F51" s="25">
        <f t="shared" si="20"/>
        <v>-210815.47064675335</v>
      </c>
      <c r="G51" s="25">
        <f t="shared" si="20"/>
        <v>-215031.78005968838</v>
      </c>
      <c r="H51" s="25">
        <f t="shared" si="20"/>
        <v>-219332.41566088216</v>
      </c>
      <c r="I51" s="25">
        <f t="shared" si="20"/>
        <v>-223719.06397409984</v>
      </c>
      <c r="J51" s="25">
        <f t="shared" si="20"/>
        <v>-228193.4452535818</v>
      </c>
      <c r="K51" s="26">
        <f t="shared" si="20"/>
        <v>-232757.31415865343</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947</v>
      </c>
      <c r="B54" s="25">
        <f t="shared" ref="B54:K54" si="21">$B$19*(1+$B$6)^(B48-1)</f>
        <v>-1398457.8816834236</v>
      </c>
      <c r="C54" s="25">
        <f t="shared" si="21"/>
        <v>-1440411.6181339263</v>
      </c>
      <c r="D54" s="25">
        <f t="shared" si="21"/>
        <v>-1483623.9666779439</v>
      </c>
      <c r="E54" s="25">
        <f t="shared" si="21"/>
        <v>-1528132.6856782823</v>
      </c>
      <c r="F54" s="25">
        <f t="shared" si="21"/>
        <v>-1573976.6662486307</v>
      </c>
      <c r="G54" s="25">
        <f t="shared" si="21"/>
        <v>-1621195.9662360898</v>
      </c>
      <c r="H54" s="25">
        <f t="shared" si="21"/>
        <v>-1669831.8452231723</v>
      </c>
      <c r="I54" s="25">
        <f t="shared" si="21"/>
        <v>-1719926.8005798673</v>
      </c>
      <c r="J54" s="25">
        <f t="shared" si="21"/>
        <v>-1771524.6045972635</v>
      </c>
      <c r="K54" s="26">
        <f t="shared" si="21"/>
        <v>-1824670.3427351813</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-129377</v>
      </c>
      <c r="C55" s="25">
        <f>IF(AND('Part VII-Pro Forma'!$G$8="Yes",'Part VII-Pro Forma'!$G$9="Yes"),"Choose One!",IF('Part VII-Pro Forma'!$G$8="Yes",ROUND((-$K$8*(1+'Part VII-Pro Forma'!$B$6)^('Part VII-Pro Forma'!C48-1)),),IF('Part VII-Pro Forma'!$G$9="Yes",ROUND((-(SUM(C49:C52)*'Part VII-Pro Forma'!$K$9)),),"Choose mgt fee")))</f>
        <v>-131964</v>
      </c>
      <c r="D55" s="25">
        <f>IF(AND('Part VII-Pro Forma'!$G$8="Yes",'Part VII-Pro Forma'!$G$9="Yes"),"Choose One!",IF('Part VII-Pro Forma'!$G$8="Yes",ROUND((-$K$8*(1+'Part VII-Pro Forma'!$B$6)^('Part VII-Pro Forma'!D48-1)),),IF('Part VII-Pro Forma'!$G$9="Yes",ROUND((-(SUM(D49:D52)*'Part VII-Pro Forma'!$K$9)),),"Choose mgt fee")))</f>
        <v>-134604</v>
      </c>
      <c r="E55" s="25">
        <f>IF(AND('Part VII-Pro Forma'!$G$8="Yes",'Part VII-Pro Forma'!$G$9="Yes"),"Choose One!",IF('Part VII-Pro Forma'!$G$8="Yes",ROUND((-$K$8*(1+'Part VII-Pro Forma'!$B$6)^('Part VII-Pro Forma'!E48-1)),),IF('Part VII-Pro Forma'!$G$9="Yes",ROUND((-(SUM(E49:E52)*'Part VII-Pro Forma'!$K$9)),),"Choose mgt fee")))</f>
        <v>-137296</v>
      </c>
      <c r="F55" s="25">
        <f>IF(AND('Part VII-Pro Forma'!$G$8="Yes",'Part VII-Pro Forma'!$G$9="Yes"),"Choose One!",IF('Part VII-Pro Forma'!$G$8="Yes",ROUND((-$K$8*(1+'Part VII-Pro Forma'!$B$6)^('Part VII-Pro Forma'!F48-1)),),IF('Part VII-Pro Forma'!$G$9="Yes",ROUND((-(SUM(F49:F52)*'Part VII-Pro Forma'!$K$9)),),"Choose mgt fee")))</f>
        <v>-140042</v>
      </c>
      <c r="G55" s="25">
        <f>IF(AND('Part VII-Pro Forma'!$G$8="Yes",'Part VII-Pro Forma'!$G$9="Yes"),"Choose One!",IF('Part VII-Pro Forma'!$G$8="Yes",ROUND((-$K$8*(1+'Part VII-Pro Forma'!$B$6)^('Part VII-Pro Forma'!G48-1)),),IF('Part VII-Pro Forma'!$G$9="Yes",ROUND((-(SUM(G49:G52)*'Part VII-Pro Forma'!$K$9)),),"Choose mgt fee")))</f>
        <v>-142843</v>
      </c>
      <c r="H55" s="25">
        <f>IF(AND('Part VII-Pro Forma'!$G$8="Yes",'Part VII-Pro Forma'!$G$9="Yes"),"Choose One!",IF('Part VII-Pro Forma'!$G$8="Yes",ROUND((-$K$8*(1+'Part VII-Pro Forma'!$B$6)^('Part VII-Pro Forma'!H48-1)),),IF('Part VII-Pro Forma'!$G$9="Yes",ROUND((-(SUM(H49:H52)*'Part VII-Pro Forma'!$K$9)),),"Choose mgt fee")))</f>
        <v>-145699</v>
      </c>
      <c r="I55" s="25">
        <f>IF(AND('Part VII-Pro Forma'!$G$8="Yes",'Part VII-Pro Forma'!$G$9="Yes"),"Choose One!",IF('Part VII-Pro Forma'!$G$8="Yes",ROUND((-$K$8*(1+'Part VII-Pro Forma'!$B$6)^('Part VII-Pro Forma'!I48-1)),),IF('Part VII-Pro Forma'!$G$9="Yes",ROUND((-(SUM(I49:I52)*'Part VII-Pro Forma'!$K$9)),),"Choose mgt fee")))</f>
        <v>-148613</v>
      </c>
      <c r="J55" s="25">
        <f>IF(AND('Part VII-Pro Forma'!$G$8="Yes",'Part VII-Pro Forma'!$G$9="Yes"),"Choose One!",IF('Part VII-Pro Forma'!$G$8="Yes",ROUND((-$K$8*(1+'Part VII-Pro Forma'!$B$6)^('Part VII-Pro Forma'!J48-1)),),IF('Part VII-Pro Forma'!$G$9="Yes",ROUND((-(SUM(J49:J52)*'Part VII-Pro Forma'!$K$9)),),"Choose mgt fee")))</f>
        <v>-151586</v>
      </c>
      <c r="K55" s="25">
        <f>IF(AND('Part VII-Pro Forma'!$G$8="Yes",'Part VII-Pro Forma'!$G$9="Yes"),"Choose One!",IF('Part VII-Pro Forma'!$G$8="Yes",ROUND((-$K$8*(1+'Part VII-Pro Forma'!$B$6)^('Part VII-Pro Forma'!K48-1)),),IF('Part VII-Pro Forma'!$G$9="Yes",ROUND((-(SUM(K49:K52)*'Part VII-Pro Forma'!$K$9)),),"Choose mgt fee")))</f>
        <v>-154617</v>
      </c>
    </row>
    <row r="56" spans="1:11" ht="13.15" customHeight="1">
      <c r="A56" s="24" t="s">
        <v>1861</v>
      </c>
      <c r="B56" s="25">
        <f t="shared" ref="B56:K56" si="22">$B$21*(1+$B$7)^(B48-1)</f>
        <v>-113453.42074423077</v>
      </c>
      <c r="C56" s="25">
        <f t="shared" si="22"/>
        <v>-116857.02336655768</v>
      </c>
      <c r="D56" s="25">
        <f t="shared" si="22"/>
        <v>-120362.7340675544</v>
      </c>
      <c r="E56" s="25">
        <f t="shared" si="22"/>
        <v>-123973.61608958103</v>
      </c>
      <c r="F56" s="25">
        <f t="shared" si="22"/>
        <v>-127692.82457226847</v>
      </c>
      <c r="G56" s="25">
        <f t="shared" si="22"/>
        <v>-131523.60930943652</v>
      </c>
      <c r="H56" s="25">
        <f t="shared" si="22"/>
        <v>-135469.3175887196</v>
      </c>
      <c r="I56" s="25">
        <f t="shared" si="22"/>
        <v>-139533.39711638118</v>
      </c>
      <c r="J56" s="25">
        <f t="shared" si="22"/>
        <v>-143719.39902987264</v>
      </c>
      <c r="K56" s="26">
        <f t="shared" si="22"/>
        <v>-148030.98100076881</v>
      </c>
    </row>
    <row r="57" spans="1:11" ht="13.15" customHeight="1">
      <c r="A57" s="24" t="s">
        <v>1862</v>
      </c>
      <c r="B57" s="25">
        <f t="shared" ref="B57:K57" si="23">SUM(B49:B56)</f>
        <v>946249.47917442932</v>
      </c>
      <c r="C57" s="25">
        <f t="shared" si="23"/>
        <v>950055.89573364076</v>
      </c>
      <c r="D57" s="25">
        <f t="shared" si="23"/>
        <v>953483.60723330919</v>
      </c>
      <c r="E57" s="25">
        <f t="shared" si="23"/>
        <v>956513.49237051979</v>
      </c>
      <c r="F57" s="25">
        <f t="shared" si="23"/>
        <v>959122.619200252</v>
      </c>
      <c r="G57" s="25">
        <f t="shared" si="23"/>
        <v>961288.21667604777</v>
      </c>
      <c r="H57" s="25">
        <f t="shared" si="23"/>
        <v>962987.64525411348</v>
      </c>
      <c r="I57" s="25">
        <f t="shared" si="23"/>
        <v>964194.36653107777</v>
      </c>
      <c r="J57" s="25">
        <f t="shared" si="23"/>
        <v>964882.91188473604</v>
      </c>
      <c r="K57" s="26">
        <f t="shared" si="23"/>
        <v>965028.85008615942</v>
      </c>
    </row>
    <row r="58" spans="1:11" ht="13.15" customHeight="1">
      <c r="A58" s="24" t="str">
        <f t="shared" ref="A58:A63" si="24">$A23</f>
        <v>D/S USDA/HUD Mortgage</v>
      </c>
      <c r="B58" s="286">
        <f>IF('Part III A-Sources of Funds'!$M$32="", 0,-'Part III A-Sources of Funds'!$M$32)</f>
        <v>-486766.28439441242</v>
      </c>
      <c r="C58" s="286">
        <f>IF('Part III A-Sources of Funds'!$M$32="", 0,-'Part III A-Sources of Funds'!$M$32)</f>
        <v>-486766.28439441242</v>
      </c>
      <c r="D58" s="286">
        <f>IF('Part III A-Sources of Funds'!$M$32="", 0,-'Part III A-Sources of Funds'!$M$32)</f>
        <v>-486766.28439441242</v>
      </c>
      <c r="E58" s="286">
        <f>IF('Part III A-Sources of Funds'!$M$32="", 0,-'Part III A-Sources of Funds'!$M$32)</f>
        <v>-486766.28439441242</v>
      </c>
      <c r="F58" s="286">
        <f>IF('Part III A-Sources of Funds'!$M$32="", 0,-'Part III A-Sources of Funds'!$M$32)</f>
        <v>-486766.28439441242</v>
      </c>
      <c r="G58" s="286">
        <f>IF('Part III A-Sources of Funds'!$M$32="", 0,-'Part III A-Sources of Funds'!$M$32)</f>
        <v>-486766.28439441242</v>
      </c>
      <c r="H58" s="286">
        <f>IF('Part III A-Sources of Funds'!$M$32="", 0,-'Part III A-Sources of Funds'!$M$32)</f>
        <v>-486766.28439441242</v>
      </c>
      <c r="I58" s="286">
        <f>IF('Part III A-Sources of Funds'!$M$32="", 0,-'Part III A-Sources of Funds'!$M$32)</f>
        <v>-486766.28439441242</v>
      </c>
      <c r="J58" s="286">
        <f>IF('Part III A-Sources of Funds'!$M$32="", 0,-'Part III A-Sources of Funds'!$M$32)</f>
        <v>-486766.28439441242</v>
      </c>
      <c r="K58" s="286">
        <f>IF('Part III A-Sources of Funds'!$M$32="", 0,-'Part III A-Sources of Funds'!$M$32)</f>
        <v>-486766.28439441242</v>
      </c>
    </row>
    <row r="59" spans="1:11" ht="13.15" customHeight="1">
      <c r="A59" s="24" t="str">
        <f t="shared" si="24"/>
        <v>HUD MIP</v>
      </c>
      <c r="B59" s="287">
        <f>IF('Part III A-Sources of Funds'!$E$32="USDA 538 Loan", -'Part III B-USDA 538 Loan'!$C27,IF('Part III A-Sources of Funds'!$E$32="HUD Insured Loan", -'Part III C-HUD Insured Loan'!$B38,0))</f>
        <v>-29646.298092938534</v>
      </c>
      <c r="C59" s="287">
        <f>IF('Part III A-Sources of Funds'!$E$32="USDA 538 Loan", -'Part III B-USDA 538 Loan'!$C28,IF('Part III A-Sources of Funds'!$E$32="HUD Insured Loan", -'Part III C-HUD Insured Loan'!$B39,0))</f>
        <v>-29298.904052133483</v>
      </c>
      <c r="D59" s="287">
        <f>IF('Part III A-Sources of Funds'!$E$32="USDA 538 Loan", -'Part III B-USDA 538 Loan'!$C29,IF('Part III A-Sources of Funds'!$E$32="HUD Insured Loan", -'Part III C-HUD Insured Loan'!$B40,0))</f>
        <v>-28929.164996240426</v>
      </c>
      <c r="E59" s="287">
        <f>IF('Part III A-Sources of Funds'!$E$32="USDA 538 Loan", -'Part III B-USDA 538 Loan'!$C30,IF('Part III A-Sources of Funds'!$E$32="HUD Insured Loan", -'Part III C-HUD Insured Loan'!$B41,0))</f>
        <v>-28535.643653341493</v>
      </c>
      <c r="F59" s="287">
        <f>IF('Part III A-Sources of Funds'!$E$32="USDA 538 Loan", -'Part III B-USDA 538 Loan'!$C31,IF('Part III A-Sources of Funds'!$E$32="HUD Insured Loan", -'Part III C-HUD Insured Loan'!$B42,0))</f>
        <v>-28116.810303580965</v>
      </c>
      <c r="G59" s="287">
        <f>IF('Part III A-Sources of Funds'!$E$32="USDA 538 Loan", -'Part III B-USDA 538 Loan'!$C32,IF('Part III A-Sources of Funds'!$E$32="HUD Insured Loan", -'Part III C-HUD Insured Loan'!$B43,0))</f>
        <v>-27671.036832746187</v>
      </c>
      <c r="H59" s="287">
        <f>IF('Part III A-Sources of Funds'!$E$32="USDA 538 Loan", -'Part III B-USDA 538 Loan'!$C33,IF('Part III A-Sources of Funds'!$E$32="HUD Insured Loan", -'Part III C-HUD Insured Loan'!$B44,0))</f>
        <v>-27196.590403363949</v>
      </c>
      <c r="I59" s="287">
        <f>IF('Part III A-Sources of Funds'!$E$32="USDA 538 Loan", -'Part III B-USDA 538 Loan'!$C34,IF('Part III A-Sources of Funds'!$E$32="HUD Insured Loan", -'Part III C-HUD Insured Loan'!$B45,0))</f>
        <v>-26691.62671871034</v>
      </c>
      <c r="J59" s="287">
        <f>IF('Part III A-Sources of Funds'!$E$32="USDA 538 Loan", -'Part III B-USDA 538 Loan'!$C35,IF('Part III A-Sources of Funds'!$E$32="HUD Insured Loan", -'Part III C-HUD Insured Loan'!$B46,0))</f>
        <v>-26154.182853549493</v>
      </c>
      <c r="K59" s="287">
        <f>IF('Part III A-Sources of Funds'!$E$32="USDA 538 Loan", -'Part III B-USDA 538 Loan'!$C36,IF('Part III A-Sources of Funds'!$E$32="HUD Insured Loan", -'Part III C-HUD Insured Loan'!$B47,0))</f>
        <v>-25582.169623732465</v>
      </c>
    </row>
    <row r="60" spans="1:11" ht="13.15" customHeight="1">
      <c r="A60" s="24" t="str">
        <f t="shared" si="24"/>
        <v>D/S Mortgage B</v>
      </c>
      <c r="B60" s="1286">
        <f>IF('Part III A-Sources of Funds'!$M$33="", 0,-'Part III A-Sources of Funds'!$M$33)</f>
        <v>0</v>
      </c>
      <c r="C60" s="1286">
        <f>IF('Part III A-Sources of Funds'!$M$33="", 0,-'Part III A-Sources of Funds'!$M$33)</f>
        <v>0</v>
      </c>
      <c r="D60" s="1286">
        <f>IF('Part III A-Sources of Funds'!$M$33="", 0,-'Part III A-Sources of Funds'!$M$33)</f>
        <v>0</v>
      </c>
      <c r="E60" s="1286">
        <f>IF('Part III A-Sources of Funds'!$M$33="", 0,-'Part III A-Sources of Funds'!$M$33)</f>
        <v>0</v>
      </c>
      <c r="F60" s="1286">
        <f>IF('Part III A-Sources of Funds'!$M$33="", 0,-'Part III A-Sources of Funds'!$M$33)</f>
        <v>0</v>
      </c>
      <c r="G60" s="1286">
        <f>IF('Part III A-Sources of Funds'!$M$33="", 0,-'Part III A-Sources of Funds'!$M$33)</f>
        <v>0</v>
      </c>
      <c r="H60" s="1286">
        <f>IF('Part III A-Sources of Funds'!$M$33="", 0,-'Part III A-Sources of Funds'!$M$33)</f>
        <v>0</v>
      </c>
      <c r="I60" s="1286">
        <f>IF('Part III A-Sources of Funds'!$M$33="", 0,-'Part III A-Sources of Funds'!$M$33)</f>
        <v>0</v>
      </c>
      <c r="J60" s="1286">
        <f>IF('Part III A-Sources of Funds'!$M$33="", 0,-'Part III A-Sources of Funds'!$M$33)</f>
        <v>0</v>
      </c>
      <c r="K60" s="1286">
        <f>IF('Part III A-Sources of Funds'!$M$33="", 0,-'Part III A-Sources of Funds'!$M$33)</f>
        <v>0</v>
      </c>
    </row>
    <row r="61" spans="1:11" ht="13.15" customHeight="1">
      <c r="A61" s="24" t="str">
        <f t="shared" si="24"/>
        <v>D/S Mortgage C</v>
      </c>
      <c r="B61" s="1286">
        <f>IF('Part III A-Sources of Funds'!$M$34="", 0,-'Part III A-Sources of Funds'!$M$34)</f>
        <v>0</v>
      </c>
      <c r="C61" s="1286">
        <f>IF('Part III A-Sources of Funds'!$M$34="", 0,-'Part III A-Sources of Funds'!$M$34)</f>
        <v>0</v>
      </c>
      <c r="D61" s="1286">
        <f>IF('Part III A-Sources of Funds'!$M$34="", 0,-'Part III A-Sources of Funds'!$M$34)</f>
        <v>0</v>
      </c>
      <c r="E61" s="1286">
        <f>IF('Part III A-Sources of Funds'!$M$34="", 0,-'Part III A-Sources of Funds'!$M$34)</f>
        <v>0</v>
      </c>
      <c r="F61" s="1286">
        <f>IF('Part III A-Sources of Funds'!$M$34="", 0,-'Part III A-Sources of Funds'!$M$34)</f>
        <v>0</v>
      </c>
      <c r="G61" s="1286">
        <f>IF('Part III A-Sources of Funds'!$M$34="", 0,-'Part III A-Sources of Funds'!$M$34)</f>
        <v>0</v>
      </c>
      <c r="H61" s="1286">
        <f>IF('Part III A-Sources of Funds'!$M$34="", 0,-'Part III A-Sources of Funds'!$M$34)</f>
        <v>0</v>
      </c>
      <c r="I61" s="1286">
        <f>IF('Part III A-Sources of Funds'!$M$34="", 0,-'Part III A-Sources of Funds'!$M$34)</f>
        <v>0</v>
      </c>
      <c r="J61" s="1286">
        <f>IF('Part III A-Sources of Funds'!$M$34="", 0,-'Part III A-Sources of Funds'!$M$34)</f>
        <v>0</v>
      </c>
      <c r="K61" s="1286">
        <f>IF('Part III A-Sources of Funds'!$M$34="", 0,-'Part III A-Sources of Funds'!$M$34)</f>
        <v>0</v>
      </c>
    </row>
    <row r="62" spans="1:11" ht="13.15" customHeight="1">
      <c r="A62" s="24" t="str">
        <f t="shared" si="24"/>
        <v>D/S Other Source</v>
      </c>
      <c r="B62" s="1286">
        <f>IF('Part III A-Sources of Funds'!$M$35="", 0,-'Part III A-Sources of Funds'!$M$35)</f>
        <v>-54508.615045712293</v>
      </c>
      <c r="C62" s="1286">
        <f>IF('Part III A-Sources of Funds'!$M$35="", 0,-'Part III A-Sources of Funds'!$M$35)</f>
        <v>-54508.615045712293</v>
      </c>
      <c r="D62" s="1286">
        <f>IF('Part III A-Sources of Funds'!$M$35="", 0,-'Part III A-Sources of Funds'!$M$35)</f>
        <v>-54508.615045712293</v>
      </c>
      <c r="E62" s="1286">
        <f>IF('Part III A-Sources of Funds'!$M$35="", 0,-'Part III A-Sources of Funds'!$M$35)</f>
        <v>-54508.615045712293</v>
      </c>
      <c r="F62" s="1286">
        <f>IF('Part III A-Sources of Funds'!$M$35="", 0,-'Part III A-Sources of Funds'!$M$35)</f>
        <v>-54508.615045712293</v>
      </c>
      <c r="G62" s="1286">
        <f>IF('Part III A-Sources of Funds'!$M$35="", 0,-'Part III A-Sources of Funds'!$M$35)</f>
        <v>-54508.615045712293</v>
      </c>
      <c r="H62" s="1286">
        <f>IF('Part III A-Sources of Funds'!$M$35="", 0,-'Part III A-Sources of Funds'!$M$35)</f>
        <v>-54508.615045712293</v>
      </c>
      <c r="I62" s="1286">
        <f>IF('Part III A-Sources of Funds'!$M$35="", 0,-'Part III A-Sources of Funds'!$M$35)</f>
        <v>-54508.615045712293</v>
      </c>
      <c r="J62" s="1286">
        <f>IF('Part III A-Sources of Funds'!$M$35="", 0,-'Part III A-Sources of Funds'!$M$35)</f>
        <v>-54508.615045712293</v>
      </c>
      <c r="K62" s="1286">
        <f>IF('Part III A-Sources of Funds'!$M$35="", 0,-'Part III A-Sources of Funds'!$M$35)</f>
        <v>-54508.615045712293</v>
      </c>
    </row>
    <row r="63" spans="1:11" ht="13.15" customHeight="1">
      <c r="A63" s="24" t="str">
        <f t="shared" si="24"/>
        <v>D/S Grant from fdn / charity</v>
      </c>
      <c r="B63" s="1286">
        <f>IF('Part III A-Sources of Funds'!$M$36="", 0,-'Part III A-Sources of Funds'!$M$36)</f>
        <v>0</v>
      </c>
      <c r="C63" s="1286">
        <f>IF('Part III A-Sources of Funds'!$M$36="", 0,-'Part III A-Sources of Funds'!$M$36)</f>
        <v>0</v>
      </c>
      <c r="D63" s="1286">
        <f>IF('Part III A-Sources of Funds'!$M$36="", 0,-'Part III A-Sources of Funds'!$M$36)</f>
        <v>0</v>
      </c>
      <c r="E63" s="1286">
        <f>IF('Part III A-Sources of Funds'!$M$36="", 0,-'Part III A-Sources of Funds'!$M$36)</f>
        <v>0</v>
      </c>
      <c r="F63" s="1286">
        <f>IF('Part III A-Sources of Funds'!$M$36="", 0,-'Part III A-Sources of Funds'!$M$36)</f>
        <v>0</v>
      </c>
      <c r="G63" s="1286">
        <f>IF('Part III A-Sources of Funds'!$M$36="", 0,-'Part III A-Sources of Funds'!$M$36)</f>
        <v>0</v>
      </c>
      <c r="H63" s="1286">
        <f>IF('Part III A-Sources of Funds'!$M$36="", 0,-'Part III A-Sources of Funds'!$M$36)</f>
        <v>0</v>
      </c>
      <c r="I63" s="1286">
        <f>IF('Part III A-Sources of Funds'!$M$36="", 0,-'Part III A-Sources of Funds'!$M$36)</f>
        <v>0</v>
      </c>
      <c r="J63" s="1286">
        <f>IF('Part III A-Sources of Funds'!$M$36="", 0,-'Part III A-Sources of Funds'!$M$36)</f>
        <v>0</v>
      </c>
      <c r="K63" s="1286">
        <f>IF('Part III A-Sources of Funds'!$M$36="", 0,-'Part III A-Sources of Funds'!$M$36)</f>
        <v>0</v>
      </c>
    </row>
    <row r="64" spans="1:11" ht="13.15" customHeight="1">
      <c r="A64" s="24" t="s">
        <v>1335</v>
      </c>
      <c r="B64" s="1287"/>
      <c r="C64" s="1287"/>
      <c r="D64" s="1287"/>
      <c r="E64" s="1287"/>
      <c r="F64" s="1287"/>
      <c r="G64" s="1287"/>
      <c r="H64" s="1287"/>
      <c r="I64" s="1287"/>
      <c r="J64" s="1287"/>
      <c r="K64" s="1287"/>
    </row>
    <row r="65" spans="1:11" ht="13.15" customHeight="1">
      <c r="A65" s="24" t="s">
        <v>1806</v>
      </c>
      <c r="B65" s="1286">
        <f>+K30*1.03</f>
        <v>-13439.163793441219</v>
      </c>
      <c r="C65" s="1286">
        <f t="shared" ref="C65:K65" si="25">+B65*1.03</f>
        <v>-13842.338707244457</v>
      </c>
      <c r="D65" s="1286">
        <f t="shared" si="25"/>
        <v>-14257.60886846179</v>
      </c>
      <c r="E65" s="1286">
        <f t="shared" si="25"/>
        <v>-14685.337134515645</v>
      </c>
      <c r="F65" s="1286">
        <f t="shared" si="25"/>
        <v>-15125.897248551115</v>
      </c>
      <c r="G65" s="1286">
        <f t="shared" si="25"/>
        <v>-15579.67416600765</v>
      </c>
      <c r="H65" s="1286">
        <f t="shared" si="25"/>
        <v>-16047.06439098788</v>
      </c>
      <c r="I65" s="1286">
        <f t="shared" si="25"/>
        <v>-16528.476322717517</v>
      </c>
      <c r="J65" s="1286">
        <f t="shared" si="25"/>
        <v>-17024.330612399044</v>
      </c>
      <c r="K65" s="1286">
        <f t="shared" si="25"/>
        <v>-17535.060530771018</v>
      </c>
    </row>
    <row r="66" spans="1:11" ht="13.15" customHeight="1">
      <c r="A66" s="24" t="s">
        <v>1863</v>
      </c>
      <c r="B66" s="1286">
        <v>0</v>
      </c>
      <c r="C66" s="1286">
        <v>0</v>
      </c>
      <c r="D66" s="1286">
        <v>0</v>
      </c>
      <c r="E66" s="1286">
        <v>0</v>
      </c>
      <c r="F66" s="1286">
        <v>0</v>
      </c>
      <c r="G66" s="1286">
        <v>0</v>
      </c>
      <c r="H66" s="1286">
        <v>0</v>
      </c>
      <c r="I66" s="1286">
        <v>0</v>
      </c>
      <c r="J66" s="1286">
        <v>0</v>
      </c>
      <c r="K66" s="1286">
        <v>0</v>
      </c>
    </row>
    <row r="67" spans="1:11" ht="13.15" customHeight="1">
      <c r="A67" s="24" t="s">
        <v>1807</v>
      </c>
      <c r="B67" s="1288">
        <f>+K32</f>
        <v>0</v>
      </c>
      <c r="C67" s="1288">
        <f t="shared" ref="C67:K67" si="26">+B67</f>
        <v>0</v>
      </c>
      <c r="D67" s="1288">
        <f t="shared" si="26"/>
        <v>0</v>
      </c>
      <c r="E67" s="1288">
        <f t="shared" si="26"/>
        <v>0</v>
      </c>
      <c r="F67" s="1288">
        <f t="shared" si="26"/>
        <v>0</v>
      </c>
      <c r="G67" s="1288">
        <f t="shared" si="26"/>
        <v>0</v>
      </c>
      <c r="H67" s="1288">
        <f t="shared" si="26"/>
        <v>0</v>
      </c>
      <c r="I67" s="1288">
        <f t="shared" si="26"/>
        <v>0</v>
      </c>
      <c r="J67" s="1288">
        <f t="shared" si="26"/>
        <v>0</v>
      </c>
      <c r="K67" s="1288">
        <f t="shared" si="26"/>
        <v>0</v>
      </c>
    </row>
    <row r="68" spans="1:11" ht="13.15" customHeight="1">
      <c r="A68" s="24" t="s">
        <v>1808</v>
      </c>
      <c r="B68" s="25">
        <f t="shared" ref="B68:K68" si="27">SUM(B57:B67)</f>
        <v>361889.11784792488</v>
      </c>
      <c r="C68" s="25">
        <f t="shared" si="27"/>
        <v>365639.75353413814</v>
      </c>
      <c r="D68" s="25">
        <f t="shared" si="27"/>
        <v>369021.93392848229</v>
      </c>
      <c r="E68" s="25">
        <f t="shared" si="27"/>
        <v>372017.61214253795</v>
      </c>
      <c r="F68" s="25">
        <f t="shared" si="27"/>
        <v>374605.01220799523</v>
      </c>
      <c r="G68" s="25">
        <f t="shared" si="27"/>
        <v>376762.60623716924</v>
      </c>
      <c r="H68" s="25">
        <f t="shared" si="27"/>
        <v>378469.09101963701</v>
      </c>
      <c r="I68" s="25">
        <f t="shared" si="27"/>
        <v>379699.36404952523</v>
      </c>
      <c r="J68" s="25">
        <f t="shared" si="27"/>
        <v>380429.49897866283</v>
      </c>
      <c r="K68" s="23">
        <f t="shared" si="27"/>
        <v>380636.72049153125</v>
      </c>
    </row>
    <row r="69" spans="1:11" ht="13.15" customHeight="1">
      <c r="A69" s="24" t="str">
        <f t="shared" ref="A69:A74" si="28">$A34</f>
        <v>DCR First Mortgage</v>
      </c>
      <c r="B69" s="27">
        <f>IF(B58=0,"",-B57/B58)</f>
        <v>1.9439503299856964</v>
      </c>
      <c r="C69" s="27">
        <f t="shared" ref="C69:K69" si="29">IF(C58=0,"",-C57/C58)</f>
        <v>1.9517701332079902</v>
      </c>
      <c r="D69" s="27">
        <f t="shared" si="29"/>
        <v>1.9588119346013073</v>
      </c>
      <c r="E69" s="27">
        <f t="shared" si="29"/>
        <v>1.9650364518580441</v>
      </c>
      <c r="F69" s="27">
        <f t="shared" si="29"/>
        <v>1.970396574186521</v>
      </c>
      <c r="G69" s="27">
        <f t="shared" si="29"/>
        <v>1.9748455213408826</v>
      </c>
      <c r="H69" s="27">
        <f t="shared" si="29"/>
        <v>1.9783367832309291</v>
      </c>
      <c r="I69" s="27">
        <f t="shared" si="29"/>
        <v>1.9808158400507037</v>
      </c>
      <c r="J69" s="27">
        <f t="shared" si="29"/>
        <v>1.9822303697248673</v>
      </c>
      <c r="K69" s="28">
        <f t="shared" si="29"/>
        <v>1.982530181371857</v>
      </c>
    </row>
    <row r="70" spans="1:11" ht="13.15" customHeight="1">
      <c r="A70" s="24" t="str">
        <f t="shared" si="28"/>
        <v>DCR USDA/HUD Fee</v>
      </c>
      <c r="B70" s="27">
        <f>IF(OR(B59=0,AND(B59=0,B58=0)),"",-B57/(B58+B59))</f>
        <v>1.8323517111390422</v>
      </c>
      <c r="C70" s="27">
        <f t="shared" ref="C70:K70" si="30">IF(OR(C59=0,AND(C59=0,C58=0)),"",-C57/(C58+C59))</f>
        <v>1.8409610200476594</v>
      </c>
      <c r="D70" s="27">
        <f t="shared" si="30"/>
        <v>1.848927711811202</v>
      </c>
      <c r="E70" s="27">
        <f t="shared" si="30"/>
        <v>1.8562195099760581</v>
      </c>
      <c r="F70" s="27">
        <f t="shared" si="30"/>
        <v>1.8627968738473129</v>
      </c>
      <c r="G70" s="27">
        <f t="shared" si="30"/>
        <v>1.8686206793530333</v>
      </c>
      <c r="H70" s="27">
        <f t="shared" si="30"/>
        <v>1.8736521497452716</v>
      </c>
      <c r="I70" s="27">
        <f t="shared" si="30"/>
        <v>1.8778449911129147</v>
      </c>
      <c r="J70" s="27">
        <f t="shared" si="30"/>
        <v>1.8811550201179266</v>
      </c>
      <c r="K70" s="28">
        <f t="shared" si="30"/>
        <v>1.8835400839366694</v>
      </c>
    </row>
    <row r="71" spans="1:11" ht="13.15" customHeight="1">
      <c r="A71" s="24" t="str">
        <f t="shared" si="28"/>
        <v>DCR Second Mortgage</v>
      </c>
      <c r="B71" s="27" t="str">
        <f>IF(OR(B60=0,AND(B60=0,B59=0,B58=0)),"",-B57/(B58+B59+B60))</f>
        <v/>
      </c>
      <c r="C71" s="27" t="str">
        <f t="shared" ref="C71:K71" si="31">IF(OR(C60=0,AND(C60=0,C59=0,C58=0)),"",-C57/(C58+C59+C60))</f>
        <v/>
      </c>
      <c r="D71" s="27" t="str">
        <f t="shared" si="31"/>
        <v/>
      </c>
      <c r="E71" s="27" t="str">
        <f t="shared" si="31"/>
        <v/>
      </c>
      <c r="F71" s="27" t="str">
        <f t="shared" si="31"/>
        <v/>
      </c>
      <c r="G71" s="27" t="str">
        <f t="shared" si="31"/>
        <v/>
      </c>
      <c r="H71" s="27" t="str">
        <f t="shared" si="31"/>
        <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f>IF(OR(B62=0,AND(B58=0,B59=0,B60=0,B61=0,B62=0)),"",-B57/(B58+B59+B60+B61+B62))</f>
        <v>1.657408208458804</v>
      </c>
      <c r="C73" s="27">
        <f t="shared" ref="C73:K73" si="33">IF(OR(C62=0,AND(C58=0,C59=0,C60=0,C61=0,C62=0)),"",-C57/(C58+C59+C60+C61+C62))</f>
        <v>1.6650885300354166</v>
      </c>
      <c r="D73" s="27">
        <f t="shared" si="33"/>
        <v>1.6721796049907289</v>
      </c>
      <c r="E73" s="27">
        <f t="shared" si="33"/>
        <v>1.6786517974512496</v>
      </c>
      <c r="F73" s="27">
        <f t="shared" si="33"/>
        <v>1.6844688863348076</v>
      </c>
      <c r="G73" s="27">
        <f t="shared" si="33"/>
        <v>1.6895950131455135</v>
      </c>
      <c r="H73" s="27">
        <f t="shared" si="33"/>
        <v>1.6939946197112592</v>
      </c>
      <c r="I73" s="27">
        <f t="shared" si="33"/>
        <v>1.6976253390352716</v>
      </c>
      <c r="J73" s="27">
        <f t="shared" si="33"/>
        <v>1.7004467024926979</v>
      </c>
      <c r="K73" s="28">
        <f t="shared" si="33"/>
        <v>1.7024200680426684</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9">
        <f>IF(OR(B55="Choose mgt fee",B55="Choose One!"),"",(B49+B50+B51+B52+B53) / -(B54+B55+B56))</f>
        <v>1.5765284976288549</v>
      </c>
      <c r="C75" s="379">
        <f t="shared" ref="C75:K75" si="35">IF(OR(C55="Choose mgt fee",C55="Choose One!"),"",(C49+C50+C51+C52+C53) / -(C54+C55+C56))</f>
        <v>1.5624186227479837</v>
      </c>
      <c r="D75" s="379">
        <f t="shared" si="35"/>
        <v>1.5484232757166252</v>
      </c>
      <c r="E75" s="379">
        <f t="shared" si="35"/>
        <v>1.5345435687802123</v>
      </c>
      <c r="F75" s="379">
        <f t="shared" si="35"/>
        <v>1.5207778872969653</v>
      </c>
      <c r="G75" s="379">
        <f t="shared" si="35"/>
        <v>1.5071255515790067</v>
      </c>
      <c r="H75" s="379">
        <f t="shared" si="35"/>
        <v>1.4935866555060668</v>
      </c>
      <c r="I75" s="379">
        <f t="shared" si="35"/>
        <v>1.4801589741037551</v>
      </c>
      <c r="J75" s="379">
        <f t="shared" si="35"/>
        <v>1.4668419319399451</v>
      </c>
      <c r="K75" s="380">
        <f t="shared" si="35"/>
        <v>1.4536363172914324</v>
      </c>
    </row>
    <row r="76" spans="1:11" ht="13.15" customHeight="1">
      <c r="A76" s="24" t="str">
        <f>IF('Part III A-Sources of Funds'!$E$32 = "Neither", "", "First Mortgage Balance")</f>
        <v>First Mortgage Balance</v>
      </c>
      <c r="B76" s="1289">
        <f>IF('Part III A-Sources of Funds'!$H$32="","",-FV('Part III A-Sources of Funds'!$J$32/12,12,B58/12,K41))</f>
        <v>6510867.5671407832</v>
      </c>
      <c r="C76" s="1289">
        <f>IF('Part III A-Sources of Funds'!$H$32="","",-FV('Part III A-Sources of Funds'!$J$32/12,12,C58/12,B76))</f>
        <v>6428703.3324978827</v>
      </c>
      <c r="D76" s="1289">
        <f>IF('Part III A-Sources of Funds'!$H$32="","",-FV('Part III A-Sources of Funds'!$J$32/12,12,D58/12,C76))</f>
        <v>6341254.1451870091</v>
      </c>
      <c r="E76" s="1289">
        <f>IF('Part III A-Sources of Funds'!$H$32="","",-FV('Part III A-Sources of Funds'!$J$32/12,12,E58/12,D76))</f>
        <v>6248180.0674624499</v>
      </c>
      <c r="F76" s="1289">
        <f>IF('Part III A-Sources of Funds'!$H$32="","",-FV('Part III A-Sources of Funds'!$J$32/12,12,F58/12,E76))</f>
        <v>6149119.2961658342</v>
      </c>
      <c r="G76" s="1289">
        <f>IF('Part III A-Sources of Funds'!$H$32="","",-FV('Part III A-Sources of Funds'!$J$32/12,12,G58/12,F76))</f>
        <v>6043686.7563031157</v>
      </c>
      <c r="H76" s="1289">
        <f>IF('Part III A-Sources of Funds'!$H$32="","",-FV('Part III A-Sources of Funds'!$J$32/12,12,H58/12,G76))</f>
        <v>5931472.6041578716</v>
      </c>
      <c r="I76" s="1289">
        <f>IF('Part III A-Sources of Funds'!$H$32="","",-FV('Part III A-Sources of Funds'!$J$32/12,12,I58/12,H76))</f>
        <v>5812040.6341221323</v>
      </c>
      <c r="J76" s="1289">
        <f>IF('Part III A-Sources of Funds'!$H$32="","",-FV('Part III A-Sources of Funds'!$J$32/12,12,J58/12,I76))</f>
        <v>5684926.5830516824</v>
      </c>
      <c r="K76" s="1289">
        <f>IF('Part III A-Sources of Funds'!$H$32="","",-FV('Part III A-Sources of Funds'!$J$32/12,12,K58/12,J76))</f>
        <v>5549636.3255544174</v>
      </c>
    </row>
    <row r="77" spans="1:11" ht="13.15" customHeight="1">
      <c r="A77" s="24" t="str">
        <f>IF('Part III A-Sources of Funds'!$E$32 = "Neither", "First Mortgage Balance", "Second Mortgage Balance")</f>
        <v>Second Mortgage Balance</v>
      </c>
      <c r="B77" s="1286" t="str">
        <f>IF('Part III A-Sources of Funds'!$H$33="","",-FV('Part III A-Sources of Funds'!$J$33/12,12,B60/12,K42))</f>
        <v/>
      </c>
      <c r="C77" s="1286" t="str">
        <f>IF('Part III A-Sources of Funds'!$H$33="","",-FV('Part III A-Sources of Funds'!$J$33/12,12,C60/12,B77))</f>
        <v/>
      </c>
      <c r="D77" s="1286" t="str">
        <f>IF('Part III A-Sources of Funds'!$H$33="","",-FV('Part III A-Sources of Funds'!$J$33/12,12,D60/12,C77))</f>
        <v/>
      </c>
      <c r="E77" s="1286" t="str">
        <f>IF('Part III A-Sources of Funds'!$H$33="","",-FV('Part III A-Sources of Funds'!$J$33/12,12,E60/12,D77))</f>
        <v/>
      </c>
      <c r="F77" s="1286" t="str">
        <f>IF('Part III A-Sources of Funds'!$H$33="","",-FV('Part III A-Sources of Funds'!$J$33/12,12,F60/12,E77))</f>
        <v/>
      </c>
      <c r="G77" s="1286" t="str">
        <f>IF('Part III A-Sources of Funds'!$H$33="","",-FV('Part III A-Sources of Funds'!$J$33/12,12,G60/12,F77))</f>
        <v/>
      </c>
      <c r="H77" s="1286" t="str">
        <f>IF('Part III A-Sources of Funds'!$H$33="","",-FV('Part III A-Sources of Funds'!$J$33/12,12,H60/12,G77))</f>
        <v/>
      </c>
      <c r="I77" s="1286" t="str">
        <f>IF('Part III A-Sources of Funds'!$H$33="","",-FV('Part III A-Sources of Funds'!$J$33/12,12,I60/12,H77))</f>
        <v/>
      </c>
      <c r="J77" s="1286" t="str">
        <f>IF('Part III A-Sources of Funds'!$H$33="","",-FV('Part III A-Sources of Funds'!$J$33/12,12,J60/12,I77))</f>
        <v/>
      </c>
      <c r="K77" s="1286" t="str">
        <f>IF('Part III A-Sources of Funds'!$H$33="","",-FV('Part III A-Sources of Funds'!$J$33/12,12,K60/12,J77))</f>
        <v/>
      </c>
    </row>
    <row r="78" spans="1:11" ht="13.15" customHeight="1">
      <c r="A78" s="24" t="str">
        <f>IF('Part III A-Sources of Funds'!$E$32 = "Neither", "Second Mortgage Balance", "Third Mortgage Balance")</f>
        <v>Third Mortgage Balance</v>
      </c>
      <c r="B78" s="1286" t="str">
        <f>IF('Part III A-Sources of Funds'!$H$34="","",-FV('Part III A-Sources of Funds'!$J$34/12,12,B61/12,K43))</f>
        <v/>
      </c>
      <c r="C78" s="1286" t="str">
        <f>IF('Part III A-Sources of Funds'!$H$34="","",-FV('Part III A-Sources of Funds'!$J$34/12,12,C61/12,B78))</f>
        <v/>
      </c>
      <c r="D78" s="1286" t="str">
        <f>IF('Part III A-Sources of Funds'!$H$34="","",-FV('Part III A-Sources of Funds'!$J$34/12,12,D61/12,C78))</f>
        <v/>
      </c>
      <c r="E78" s="1286" t="str">
        <f>IF('Part III A-Sources of Funds'!$H$34="","",-FV('Part III A-Sources of Funds'!$J$34/12,12,E61/12,D78))</f>
        <v/>
      </c>
      <c r="F78" s="1286" t="str">
        <f>IF('Part III A-Sources of Funds'!$H$34="","",-FV('Part III A-Sources of Funds'!$J$34/12,12,F61/12,E78))</f>
        <v/>
      </c>
      <c r="G78" s="1286" t="str">
        <f>IF('Part III A-Sources of Funds'!$H$34="","",-FV('Part III A-Sources of Funds'!$J$34/12,12,G61/12,F78))</f>
        <v/>
      </c>
      <c r="H78" s="1286" t="str">
        <f>IF('Part III A-Sources of Funds'!$H$34="","",-FV('Part III A-Sources of Funds'!$J$34/12,12,H61/12,G78))</f>
        <v/>
      </c>
      <c r="I78" s="1286" t="str">
        <f>IF('Part III A-Sources of Funds'!$H$34="","",-FV('Part III A-Sources of Funds'!$J$34/12,12,I61/12,H78))</f>
        <v/>
      </c>
      <c r="J78" s="1286" t="str">
        <f>IF('Part III A-Sources of Funds'!$H$34="","",-FV('Part III A-Sources of Funds'!$J$34/12,12,J61/12,I78))</f>
        <v/>
      </c>
      <c r="K78" s="1286" t="str">
        <f>IF('Part III A-Sources of Funds'!$H$34="","",-FV('Part III A-Sources of Funds'!$J$34/12,12,K61/12,J78))</f>
        <v/>
      </c>
    </row>
    <row r="79" spans="1:11" ht="13.15" customHeight="1">
      <c r="A79" s="24" t="s">
        <v>1363</v>
      </c>
      <c r="B79" s="1286">
        <f>IF('Part III A-Sources of Funds'!$H$35="","",-FV('Part III A-Sources of Funds'!$J$35/12,12,B62/12,K44))</f>
        <v>1198729.617119683</v>
      </c>
      <c r="C79" s="1286">
        <f>IF('Part III A-Sources of Funds'!$H$35="","",-FV('Part III A-Sources of Funds'!$J$35/12,12,C62/12,B79))</f>
        <v>1167914.1383881408</v>
      </c>
      <c r="D79" s="1286">
        <f>IF('Part III A-Sources of Funds'!$H$35="","",-FV('Part III A-Sources of Funds'!$J$35/12,12,D62/12,C79))</f>
        <v>1136476.6690733854</v>
      </c>
      <c r="E79" s="1286">
        <f>IF('Part III A-Sources of Funds'!$H$35="","",-FV('Part III A-Sources of Funds'!$J$35/12,12,E62/12,D79))</f>
        <v>1104404.6546962548</v>
      </c>
      <c r="F79" s="1286">
        <f>IF('Part III A-Sources of Funds'!$H$35="","",-FV('Part III A-Sources of Funds'!$J$35/12,12,F62/12,E79))</f>
        <v>1071685.2873735139</v>
      </c>
      <c r="G79" s="1286">
        <f>IF('Part III A-Sources of Funds'!$H$35="","",-FV('Part III A-Sources of Funds'!$J$35/12,12,G62/12,F79))</f>
        <v>1038305.5007030572</v>
      </c>
      <c r="H79" s="1286">
        <f>IF('Part III A-Sources of Funds'!$H$35="","",-FV('Part III A-Sources of Funds'!$J$35/12,12,H62/12,G79))</f>
        <v>1004251.9645458712</v>
      </c>
      <c r="I79" s="1286">
        <f>IF('Part III A-Sources of Funds'!$H$35="","",-FV('Part III A-Sources of Funds'!$J$35/12,12,I62/12,H79))</f>
        <v>969511.07970267581</v>
      </c>
      <c r="J79" s="1286">
        <f>IF('Part III A-Sources of Funds'!$H$35="","",-FV('Part III A-Sources of Funds'!$J$35/12,12,J62/12,I79))</f>
        <v>934068.97248311527</v>
      </c>
      <c r="K79" s="1286">
        <f>IF('Part III A-Sources of Funds'!$H$35="","",-FV('Part III A-Sources of Funds'!$J$35/12,12,K62/12,J79))</f>
        <v>897911.48916533322</v>
      </c>
    </row>
    <row r="80" spans="1:11" ht="13.15" customHeight="1">
      <c r="A80" s="24" t="s">
        <v>1363</v>
      </c>
      <c r="B80" s="1286" t="str">
        <f>IF('Part III A-Sources of Funds'!$H$36="","",-FV('Part III A-Sources of Funds'!$J$36/12,12,B63/12,K45))</f>
        <v/>
      </c>
      <c r="C80" s="1286" t="str">
        <f>IF('Part III A-Sources of Funds'!$H$36="","",-FV('Part III A-Sources of Funds'!$J$36/12,12,C63/12,B80))</f>
        <v/>
      </c>
      <c r="D80" s="1286" t="str">
        <f>IF('Part III A-Sources of Funds'!$H$36="","",-FV('Part III A-Sources of Funds'!$J$36/12,12,D63/12,C80))</f>
        <v/>
      </c>
      <c r="E80" s="1286" t="str">
        <f>IF('Part III A-Sources of Funds'!$H$36="","",-FV('Part III A-Sources of Funds'!$J$36/12,12,E63/12,D80))</f>
        <v/>
      </c>
      <c r="F80" s="1286" t="str">
        <f>IF('Part III A-Sources of Funds'!$H$36="","",-FV('Part III A-Sources of Funds'!$J$36/12,12,F63/12,E80))</f>
        <v/>
      </c>
      <c r="G80" s="1286" t="str">
        <f>IF('Part III A-Sources of Funds'!$H$36="","",-FV('Part III A-Sources of Funds'!$J$36/12,12,G63/12,F80))</f>
        <v/>
      </c>
      <c r="H80" s="1286" t="str">
        <f>IF('Part III A-Sources of Funds'!$H$36="","",-FV('Part III A-Sources of Funds'!$J$36/12,12,H63/12,G80))</f>
        <v/>
      </c>
      <c r="I80" s="1286" t="str">
        <f>IF('Part III A-Sources of Funds'!$H$36="","",-FV('Part III A-Sources of Funds'!$J$36/12,12,I63/12,H80))</f>
        <v/>
      </c>
      <c r="J80" s="1286" t="str">
        <f>IF('Part III A-Sources of Funds'!$H$36="","",-FV('Part III A-Sources of Funds'!$J$36/12,12,J63/12,I80))</f>
        <v/>
      </c>
      <c r="K80" s="1286" t="str">
        <f>IF('Part III A-Sources of Funds'!$H$36="","",-FV('Part III A-Sources of Funds'!$J$36/12,12,K63/12,J80))</f>
        <v/>
      </c>
    </row>
    <row r="81" spans="1:11" ht="13.15" customHeight="1">
      <c r="A81" s="29" t="s">
        <v>1898</v>
      </c>
      <c r="B81" s="1288">
        <f>IF('Part III A-Sources of Funds'!$H$37="","",-FV('Part III A-Sources of Funds'!$J$37/12,12,B66/12,K46))</f>
        <v>0</v>
      </c>
      <c r="C81" s="1288">
        <f>IF('Part III A-Sources of Funds'!$H$37="","",-FV('Part III A-Sources of Funds'!$J$37/12,12,C66/12,B81))</f>
        <v>0</v>
      </c>
      <c r="D81" s="1288">
        <f>IF('Part III A-Sources of Funds'!$H$37="","",-FV('Part III A-Sources of Funds'!$J$37/12,12,D66/12,C81))</f>
        <v>0</v>
      </c>
      <c r="E81" s="1288">
        <f>IF('Part III A-Sources of Funds'!$H$37="","",-FV('Part III A-Sources of Funds'!$J$37/12,12,E66/12,D81))</f>
        <v>0</v>
      </c>
      <c r="F81" s="1288">
        <f>IF('Part III A-Sources of Funds'!$H$37="","",-FV('Part III A-Sources of Funds'!$J$37/12,12,F66/12,E81))</f>
        <v>0</v>
      </c>
      <c r="G81" s="1288">
        <f>IF('Part III A-Sources of Funds'!$H$37="","",-FV('Part III A-Sources of Funds'!$J$37/12,12,G66/12,F81))</f>
        <v>0</v>
      </c>
      <c r="H81" s="1288">
        <f>IF('Part III A-Sources of Funds'!$H$37="","",-FV('Part III A-Sources of Funds'!$J$37/12,12,H66/12,G81))</f>
        <v>0</v>
      </c>
      <c r="I81" s="1288">
        <f>IF('Part III A-Sources of Funds'!$H$37="","",-FV('Part III A-Sources of Funds'!$J$37/12,12,I66/12,H81))</f>
        <v>0</v>
      </c>
      <c r="J81" s="1288">
        <f>IF('Part III A-Sources of Funds'!$H$37="","",-FV('Part III A-Sources of Funds'!$J$37/12,12,J66/12,I81))</f>
        <v>0</v>
      </c>
      <c r="K81" s="1288">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3641</v>
      </c>
      <c r="B84" s="22">
        <f t="shared" ref="B84:K84" si="37">$B$14*(1+$B$5)^(B83-1)</f>
        <v>3325104.4879807634</v>
      </c>
      <c r="C84" s="22">
        <f t="shared" si="37"/>
        <v>3391606.5777403782</v>
      </c>
      <c r="D84" s="22">
        <f t="shared" si="37"/>
        <v>3459438.7092951862</v>
      </c>
      <c r="E84" s="22">
        <f t="shared" si="37"/>
        <v>3528627.4834810891</v>
      </c>
      <c r="F84" s="22">
        <f t="shared" si="37"/>
        <v>3599200.0331507111</v>
      </c>
      <c r="G84" s="22">
        <f t="shared" si="37"/>
        <v>3671184.0338137252</v>
      </c>
      <c r="H84" s="22">
        <f t="shared" si="37"/>
        <v>3744607.7144900002</v>
      </c>
      <c r="I84" s="22">
        <f t="shared" si="37"/>
        <v>3819499.8687797994</v>
      </c>
      <c r="J84" s="22">
        <f t="shared" si="37"/>
        <v>3895889.8661553962</v>
      </c>
      <c r="K84" s="23">
        <f t="shared" si="37"/>
        <v>3973807.6634785035</v>
      </c>
    </row>
    <row r="85" spans="1:11" ht="13.15" customHeight="1">
      <c r="A85" s="24" t="s">
        <v>1631</v>
      </c>
      <c r="B85" s="25">
        <f t="shared" ref="B85:K85" si="38">$B$15*(1+$B$5)^(B83-1)</f>
        <v>66502.089759615264</v>
      </c>
      <c r="C85" s="25">
        <f t="shared" si="38"/>
        <v>67832.131554807565</v>
      </c>
      <c r="D85" s="25">
        <f t="shared" si="38"/>
        <v>69188.77418590372</v>
      </c>
      <c r="E85" s="25">
        <f t="shared" si="38"/>
        <v>70572.549669621789</v>
      </c>
      <c r="F85" s="25">
        <f t="shared" si="38"/>
        <v>71984.000663014216</v>
      </c>
      <c r="G85" s="25">
        <f t="shared" si="38"/>
        <v>73423.680676274511</v>
      </c>
      <c r="H85" s="25">
        <f t="shared" si="38"/>
        <v>74892.154289800004</v>
      </c>
      <c r="I85" s="25">
        <f t="shared" si="38"/>
        <v>76389.997375595995</v>
      </c>
      <c r="J85" s="25">
        <f t="shared" si="38"/>
        <v>77917.797323107923</v>
      </c>
      <c r="K85" s="26">
        <f t="shared" si="38"/>
        <v>79476.153269570073</v>
      </c>
    </row>
    <row r="86" spans="1:11" ht="13.15" customHeight="1">
      <c r="A86" s="24" t="s">
        <v>3642</v>
      </c>
      <c r="B86" s="25">
        <f t="shared" ref="B86:K86" si="39">-(B84+B85)*$B$8</f>
        <v>-237412.46044182652</v>
      </c>
      <c r="C86" s="25">
        <f t="shared" si="39"/>
        <v>-242160.70965066302</v>
      </c>
      <c r="D86" s="25">
        <f t="shared" si="39"/>
        <v>-247003.92384367634</v>
      </c>
      <c r="E86" s="25">
        <f t="shared" si="39"/>
        <v>-251944.0023205498</v>
      </c>
      <c r="F86" s="25">
        <f t="shared" si="39"/>
        <v>-256982.88236696078</v>
      </c>
      <c r="G86" s="25">
        <f t="shared" si="39"/>
        <v>-262122.5400143</v>
      </c>
      <c r="H86" s="25">
        <f t="shared" si="39"/>
        <v>-267364.99081458605</v>
      </c>
      <c r="I86" s="25">
        <f t="shared" si="39"/>
        <v>-272712.29063087772</v>
      </c>
      <c r="J86" s="25">
        <f t="shared" si="39"/>
        <v>-278166.53644349531</v>
      </c>
      <c r="K86" s="26">
        <f t="shared" si="39"/>
        <v>-283729.86717236514</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40">$B$19*(1+$B$6)^(B83-1)</f>
        <v>-1879410.4530172367</v>
      </c>
      <c r="C89" s="25">
        <f t="shared" si="40"/>
        <v>-1935792.7666077535</v>
      </c>
      <c r="D89" s="25">
        <f t="shared" si="40"/>
        <v>-1993866.5496059863</v>
      </c>
      <c r="E89" s="25">
        <f t="shared" si="40"/>
        <v>-2053682.5460941661</v>
      </c>
      <c r="F89" s="25">
        <f t="shared" si="40"/>
        <v>-2115293.0224769907</v>
      </c>
      <c r="G89" s="25">
        <f t="shared" si="40"/>
        <v>-2178751.8131513004</v>
      </c>
      <c r="H89" s="25">
        <f t="shared" si="40"/>
        <v>-2244114.3675458399</v>
      </c>
      <c r="I89" s="25">
        <f t="shared" si="40"/>
        <v>-2311437.7985722148</v>
      </c>
      <c r="J89" s="25">
        <f t="shared" si="40"/>
        <v>-2380780.932529381</v>
      </c>
      <c r="K89" s="26">
        <f t="shared" si="40"/>
        <v>-2452204.3605052624</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-157710</v>
      </c>
      <c r="C90" s="25">
        <f>IF(AND('Part VII-Pro Forma'!$G$8="Yes",'Part VII-Pro Forma'!$G$9="Yes"),"Choose One!",IF('Part VII-Pro Forma'!$G$8="Yes",ROUND((-$K$8*(1+'Part VII-Pro Forma'!$B$6)^('Part VII-Pro Forma'!C83-1)),),IF('Part VII-Pro Forma'!$G$9="Yes",ROUND((-(SUM(C84:C87)*'Part VII-Pro Forma'!$K$9)),),"Choose mgt fee")))</f>
        <v>-160864</v>
      </c>
      <c r="D90" s="25">
        <f>IF(AND('Part VII-Pro Forma'!$G$8="Yes",'Part VII-Pro Forma'!$G$9="Yes"),"Choose One!",IF('Part VII-Pro Forma'!$G$8="Yes",ROUND((-$K$8*(1+'Part VII-Pro Forma'!$B$6)^('Part VII-Pro Forma'!D83-1)),),IF('Part VII-Pro Forma'!$G$9="Yes",ROUND((-(SUM(D84:D87)*'Part VII-Pro Forma'!$K$9)),),"Choose mgt fee")))</f>
        <v>-164081</v>
      </c>
      <c r="E90" s="25">
        <f>IF(AND('Part VII-Pro Forma'!$G$8="Yes",'Part VII-Pro Forma'!$G$9="Yes"),"Choose One!",IF('Part VII-Pro Forma'!$G$8="Yes",ROUND((-$K$8*(1+'Part VII-Pro Forma'!$B$6)^('Part VII-Pro Forma'!E83-1)),),IF('Part VII-Pro Forma'!$G$9="Yes",ROUND((-(SUM(E84:E87)*'Part VII-Pro Forma'!$K$9)),),"Choose mgt fee")))</f>
        <v>-167363</v>
      </c>
      <c r="F90" s="25">
        <f>IF(AND('Part VII-Pro Forma'!$G$8="Yes",'Part VII-Pro Forma'!$G$9="Yes"),"Choose One!",IF('Part VII-Pro Forma'!$G$8="Yes",ROUND((-$K$8*(1+'Part VII-Pro Forma'!$B$6)^('Part VII-Pro Forma'!F83-1)),),IF('Part VII-Pro Forma'!$G$9="Yes",ROUND((-(SUM(F84:F87)*'Part VII-Pro Forma'!$K$9)),),"Choose mgt fee")))</f>
        <v>-170710</v>
      </c>
      <c r="G90" s="25">
        <f>IF(AND('Part VII-Pro Forma'!$G$8="Yes",'Part VII-Pro Forma'!$G$9="Yes"),"Choose One!",IF('Part VII-Pro Forma'!$G$8="Yes",ROUND((-$K$8*(1+'Part VII-Pro Forma'!$B$6)^('Part VII-Pro Forma'!G83-1)),),IF('Part VII-Pro Forma'!$G$9="Yes",ROUND((-(SUM(G84:G87)*'Part VII-Pro Forma'!$K$9)),),"Choose mgt fee")))</f>
        <v>-174124</v>
      </c>
      <c r="H90" s="25">
        <f>IF(AND('Part VII-Pro Forma'!$G$8="Yes",'Part VII-Pro Forma'!$G$9="Yes"),"Choose One!",IF('Part VII-Pro Forma'!$G$8="Yes",ROUND((-$K$8*(1+'Part VII-Pro Forma'!$B$6)^('Part VII-Pro Forma'!H83-1)),),IF('Part VII-Pro Forma'!$G$9="Yes",ROUND((-(SUM(H84:H87)*'Part VII-Pro Forma'!$K$9)),),"Choose mgt fee")))</f>
        <v>-177607</v>
      </c>
      <c r="I90" s="25">
        <f>IF(AND('Part VII-Pro Forma'!$G$8="Yes",'Part VII-Pro Forma'!$G$9="Yes"),"Choose One!",IF('Part VII-Pro Forma'!$G$8="Yes",ROUND((-$K$8*(1+'Part VII-Pro Forma'!$B$6)^('Part VII-Pro Forma'!I83-1)),),IF('Part VII-Pro Forma'!$G$9="Yes",ROUND((-(SUM(I84:I87)*'Part VII-Pro Forma'!$K$9)),),"Choose mgt fee")))</f>
        <v>-181159</v>
      </c>
      <c r="J90" s="25">
        <f>IF(AND('Part VII-Pro Forma'!$G$8="Yes",'Part VII-Pro Forma'!$G$9="Yes"),"Choose One!",IF('Part VII-Pro Forma'!$G$8="Yes",ROUND((-$K$8*(1+'Part VII-Pro Forma'!$B$6)^('Part VII-Pro Forma'!J83-1)),),IF('Part VII-Pro Forma'!$G$9="Yes",ROUND((-(SUM(J84:J87)*'Part VII-Pro Forma'!$K$9)),),"Choose mgt fee")))</f>
        <v>-184782</v>
      </c>
      <c r="K90" s="25">
        <f>IF(AND('Part VII-Pro Forma'!$G$8="Yes",'Part VII-Pro Forma'!$G$9="Yes"),"Choose One!",IF('Part VII-Pro Forma'!$G$8="Yes",ROUND((-$K$8*(1+'Part VII-Pro Forma'!$B$6)^('Part VII-Pro Forma'!K83-1)),),IF('Part VII-Pro Forma'!$G$9="Yes",ROUND((-(SUM(K84:K87)*'Part VII-Pro Forma'!$K$9)),),"Choose mgt fee")))</f>
        <v>-188478</v>
      </c>
    </row>
    <row r="91" spans="1:11" ht="13.15" customHeight="1">
      <c r="A91" s="24" t="s">
        <v>1861</v>
      </c>
      <c r="B91" s="25">
        <f t="shared" ref="B91:K91" si="41">$B$21*(1+$B$7)^(B83-1)</f>
        <v>-152471.91043079188</v>
      </c>
      <c r="C91" s="25">
        <f t="shared" si="41"/>
        <v>-157046.0677437156</v>
      </c>
      <c r="D91" s="25">
        <f t="shared" si="41"/>
        <v>-161757.44977602709</v>
      </c>
      <c r="E91" s="25">
        <f t="shared" si="41"/>
        <v>-166610.17326930791</v>
      </c>
      <c r="F91" s="25">
        <f t="shared" si="41"/>
        <v>-171608.47846738712</v>
      </c>
      <c r="G91" s="25">
        <f t="shared" si="41"/>
        <v>-176756.73282140872</v>
      </c>
      <c r="H91" s="25">
        <f t="shared" si="41"/>
        <v>-182059.43480605102</v>
      </c>
      <c r="I91" s="25">
        <f t="shared" si="41"/>
        <v>-187521.21785023253</v>
      </c>
      <c r="J91" s="25">
        <f t="shared" si="41"/>
        <v>-193146.85438573951</v>
      </c>
      <c r="K91" s="26">
        <f t="shared" si="41"/>
        <v>-198941.26001731167</v>
      </c>
    </row>
    <row r="92" spans="1:11" ht="13.15" customHeight="1">
      <c r="A92" s="24" t="s">
        <v>1862</v>
      </c>
      <c r="B92" s="25">
        <f t="shared" ref="B92:K92" si="42">SUM(B84:B91)</f>
        <v>964601.75385052373</v>
      </c>
      <c r="C92" s="25">
        <f t="shared" si="42"/>
        <v>963575.16529305349</v>
      </c>
      <c r="D92" s="25">
        <f t="shared" si="42"/>
        <v>961918.56025540037</v>
      </c>
      <c r="E92" s="25">
        <f t="shared" si="42"/>
        <v>959600.31146668713</v>
      </c>
      <c r="F92" s="25">
        <f t="shared" si="42"/>
        <v>956589.6505023865</v>
      </c>
      <c r="G92" s="25">
        <f t="shared" si="42"/>
        <v>952852.62850299058</v>
      </c>
      <c r="H92" s="25">
        <f t="shared" si="42"/>
        <v>948354.07561332337</v>
      </c>
      <c r="I92" s="25">
        <f t="shared" si="42"/>
        <v>943059.55910207005</v>
      </c>
      <c r="J92" s="25">
        <f t="shared" si="42"/>
        <v>936931.34011988819</v>
      </c>
      <c r="K92" s="26">
        <f t="shared" si="42"/>
        <v>929930.32905313419</v>
      </c>
    </row>
    <row r="93" spans="1:11" ht="13.15" customHeight="1">
      <c r="A93" s="24" t="str">
        <f t="shared" ref="A93:A98" si="43">$A58</f>
        <v>D/S USDA/HUD Mortgage</v>
      </c>
      <c r="B93" s="286">
        <f>IF('Part III A-Sources of Funds'!$M$32="", 0,-'Part III A-Sources of Funds'!$M$32)</f>
        <v>-486766.28439441242</v>
      </c>
      <c r="C93" s="286">
        <f>IF('Part III A-Sources of Funds'!$M$32="", 0,-'Part III A-Sources of Funds'!$M$32)</f>
        <v>-486766.28439441242</v>
      </c>
      <c r="D93" s="286">
        <f>IF('Part III A-Sources of Funds'!$M$32="", 0,-'Part III A-Sources of Funds'!$M$32)</f>
        <v>-486766.28439441242</v>
      </c>
      <c r="E93" s="286">
        <f>IF('Part III A-Sources of Funds'!$M$32="", 0,-'Part III A-Sources of Funds'!$M$32)</f>
        <v>-486766.28439441242</v>
      </c>
      <c r="F93" s="286">
        <f>IF('Part III A-Sources of Funds'!$M$32="", 0,-'Part III A-Sources of Funds'!$M$32)</f>
        <v>-486766.28439441242</v>
      </c>
      <c r="G93" s="286">
        <f>IF('Part III A-Sources of Funds'!$M$32="", 0,-'Part III A-Sources of Funds'!$M$32)</f>
        <v>-486766.28439441242</v>
      </c>
      <c r="H93" s="286">
        <f>IF('Part III A-Sources of Funds'!$M$32="", 0,-'Part III A-Sources of Funds'!$M$32)</f>
        <v>-486766.28439441242</v>
      </c>
      <c r="I93" s="286">
        <f>IF('Part III A-Sources of Funds'!$M$32="", 0,-'Part III A-Sources of Funds'!$M$32)</f>
        <v>-486766.28439441242</v>
      </c>
      <c r="J93" s="286">
        <f>IF('Part III A-Sources of Funds'!$M$32="", 0,-'Part III A-Sources of Funds'!$M$32)</f>
        <v>-486766.28439441242</v>
      </c>
      <c r="K93" s="286">
        <f>IF('Part III A-Sources of Funds'!$M$32="", 0,-'Part III A-Sources of Funds'!$M$32)</f>
        <v>-486766.28439441242</v>
      </c>
    </row>
    <row r="94" spans="1:11" ht="13.15" customHeight="1">
      <c r="A94" s="24" t="str">
        <f t="shared" si="43"/>
        <v>HUD MIP</v>
      </c>
      <c r="B94" s="287">
        <f>IF('Part III A-Sources of Funds'!$E$32="USDA 538 Loan", -'Part III B-USDA 538 Loan'!$C37,IF('Part III A-Sources of Funds'!$E$32="HUD Insured Loan", -'Part III C-HUD Insured Loan'!$E28,0))</f>
        <v>-24973.363464994763</v>
      </c>
      <c r="C94" s="287">
        <f>IF('Part III A-Sources of Funds'!$E$32="USDA 538 Loan", -'Part III B-USDA 538 Loan'!$C38,IF('Part III A-Sources of Funds'!$E$32="HUD Insured Loan", -'Part III C-HUD Insured Loan'!$E29,0))</f>
        <v>-24325.397789383529</v>
      </c>
      <c r="D94" s="287">
        <f>IF('Part III A-Sources of Funds'!$E$32="USDA 538 Loan", -'Part III B-USDA 538 Loan'!$C39,IF('Part III A-Sources of Funds'!$E$32="HUD Insured Loan", -'Part III C-HUD Insured Loan'!$E30,0))</f>
        <v>-23635.753785714358</v>
      </c>
      <c r="E94" s="287">
        <f>IF('Part III A-Sources of Funds'!$E$32="USDA 538 Loan", -'Part III B-USDA 538 Loan'!$C40,IF('Part III A-Sources of Funds'!$E$32="HUD Insured Loan", -'Part III C-HUD Insured Loan'!$E31,0))</f>
        <v>-22901.750628296792</v>
      </c>
      <c r="F94" s="287">
        <f>IF('Part III A-Sources of Funds'!$E$32="USDA 538 Loan", -'Part III B-USDA 538 Loan'!$C41,IF('Part III A-Sources of Funds'!$E$32="HUD Insured Loan", -'Part III C-HUD Insured Loan'!$E32,0))</f>
        <v>-22120.535055867338</v>
      </c>
      <c r="G94" s="287">
        <f>IF('Part III A-Sources of Funds'!$E$32="USDA 538 Loan", -'Part III B-USDA 538 Loan'!$C42,IF('Part III A-Sources of Funds'!$E$32="HUD Insured Loan", -'Part III C-HUD Insured Loan'!$E33,0))</f>
        <v>-21289.07028022048</v>
      </c>
      <c r="H94" s="287">
        <f>IF('Part III A-Sources of Funds'!$E$32="USDA 538 Loan", -'Part III B-USDA 538 Loan'!$C43,IF('Part III A-Sources of Funds'!$E$32="HUD Insured Loan", -'Part III C-HUD Insured Loan'!$E34,0))</f>
        <v>-20404.124181422761</v>
      </c>
      <c r="I94" s="287">
        <f>IF('Part III A-Sources of Funds'!$E$32="USDA 538 Loan", -'Part III B-USDA 538 Loan'!$C44,IF('Part III A-Sources of Funds'!$E$32="HUD Insured Loan", -'Part III C-HUD Insured Loan'!$E35,0))</f>
        <v>-19462.256743721562</v>
      </c>
      <c r="J94" s="287">
        <f>IF('Part III A-Sources of Funds'!$E$32="USDA 538 Loan", -'Part III B-USDA 538 Loan'!$C45,IF('Part III A-Sources of Funds'!$E$32="HUD Insured Loan", -'Part III C-HUD Insured Loan'!$E36,0))</f>
        <v>-18459.806683308787</v>
      </c>
      <c r="K94" s="287">
        <f>IF('Part III A-Sources of Funds'!$E$32="USDA 538 Loan", -'Part III B-USDA 538 Loan'!$C46,IF('Part III A-Sources of Funds'!$E$32="HUD Insured Loan", -'Part III C-HUD Insured Loan'!$E37,0))</f>
        <v>-17392.877215958011</v>
      </c>
    </row>
    <row r="95" spans="1:11" ht="13.15" customHeight="1">
      <c r="A95" s="24" t="str">
        <f t="shared" si="43"/>
        <v>D/S Mortgage B</v>
      </c>
      <c r="B95" s="1286">
        <f>IF('Part III A-Sources of Funds'!$M$33="", 0,-'Part III A-Sources of Funds'!$M$33)</f>
        <v>0</v>
      </c>
      <c r="C95" s="1286">
        <f>IF('Part III A-Sources of Funds'!$M$33="", 0,-'Part III A-Sources of Funds'!$M$33)</f>
        <v>0</v>
      </c>
      <c r="D95" s="1286">
        <f>IF('Part III A-Sources of Funds'!$M$33="", 0,-'Part III A-Sources of Funds'!$M$33)</f>
        <v>0</v>
      </c>
      <c r="E95" s="1286">
        <f>IF('Part III A-Sources of Funds'!$M$33="", 0,-'Part III A-Sources of Funds'!$M$33)</f>
        <v>0</v>
      </c>
      <c r="F95" s="1286">
        <f>IF('Part III A-Sources of Funds'!$M$33="", 0,-'Part III A-Sources of Funds'!$M$33)</f>
        <v>0</v>
      </c>
      <c r="G95" s="1286">
        <f>IF('Part III A-Sources of Funds'!$M$33="", 0,-'Part III A-Sources of Funds'!$M$33)</f>
        <v>0</v>
      </c>
      <c r="H95" s="1286">
        <f>IF('Part III A-Sources of Funds'!$M$33="", 0,-'Part III A-Sources of Funds'!$M$33)</f>
        <v>0</v>
      </c>
      <c r="I95" s="1286">
        <f>IF('Part III A-Sources of Funds'!$M$33="", 0,-'Part III A-Sources of Funds'!$M$33)</f>
        <v>0</v>
      </c>
      <c r="J95" s="1286">
        <f>IF('Part III A-Sources of Funds'!$M$33="", 0,-'Part III A-Sources of Funds'!$M$33)</f>
        <v>0</v>
      </c>
      <c r="K95" s="1286">
        <f>IF('Part III A-Sources of Funds'!$M$33="", 0,-'Part III A-Sources of Funds'!$M$33)</f>
        <v>0</v>
      </c>
    </row>
    <row r="96" spans="1:11" ht="13.15" customHeight="1">
      <c r="A96" s="24" t="str">
        <f t="shared" si="43"/>
        <v>D/S Mortgage C</v>
      </c>
      <c r="B96" s="1286">
        <f>IF('Part III A-Sources of Funds'!$M$34="", 0,-'Part III A-Sources of Funds'!$M$34)</f>
        <v>0</v>
      </c>
      <c r="C96" s="1286">
        <f>IF('Part III A-Sources of Funds'!$M$34="", 0,-'Part III A-Sources of Funds'!$M$34)</f>
        <v>0</v>
      </c>
      <c r="D96" s="1286">
        <f>IF('Part III A-Sources of Funds'!$M$34="", 0,-'Part III A-Sources of Funds'!$M$34)</f>
        <v>0</v>
      </c>
      <c r="E96" s="1286">
        <f>IF('Part III A-Sources of Funds'!$M$34="", 0,-'Part III A-Sources of Funds'!$M$34)</f>
        <v>0</v>
      </c>
      <c r="F96" s="1286">
        <f>IF('Part III A-Sources of Funds'!$M$34="", 0,-'Part III A-Sources of Funds'!$M$34)</f>
        <v>0</v>
      </c>
      <c r="G96" s="1286">
        <f>IF('Part III A-Sources of Funds'!$M$34="", 0,-'Part III A-Sources of Funds'!$M$34)</f>
        <v>0</v>
      </c>
      <c r="H96" s="1286">
        <f>IF('Part III A-Sources of Funds'!$M$34="", 0,-'Part III A-Sources of Funds'!$M$34)</f>
        <v>0</v>
      </c>
      <c r="I96" s="1286">
        <f>IF('Part III A-Sources of Funds'!$M$34="", 0,-'Part III A-Sources of Funds'!$M$34)</f>
        <v>0</v>
      </c>
      <c r="J96" s="1286">
        <f>IF('Part III A-Sources of Funds'!$M$34="", 0,-'Part III A-Sources of Funds'!$M$34)</f>
        <v>0</v>
      </c>
      <c r="K96" s="1286">
        <f>IF('Part III A-Sources of Funds'!$M$34="", 0,-'Part III A-Sources of Funds'!$M$34)</f>
        <v>0</v>
      </c>
    </row>
    <row r="97" spans="1:11" ht="13.15" customHeight="1">
      <c r="A97" s="24" t="str">
        <f t="shared" si="43"/>
        <v>D/S Other Source</v>
      </c>
      <c r="B97" s="1286">
        <f>IF('Part III A-Sources of Funds'!$M$35="", 0,-'Part III A-Sources of Funds'!$M$35)</f>
        <v>-54508.615045712293</v>
      </c>
      <c r="C97" s="1286">
        <f>IF('Part III A-Sources of Funds'!$M$35="", 0,-'Part III A-Sources of Funds'!$M$35)</f>
        <v>-54508.615045712293</v>
      </c>
      <c r="D97" s="1286">
        <f>IF('Part III A-Sources of Funds'!$M$35="", 0,-'Part III A-Sources of Funds'!$M$35)</f>
        <v>-54508.615045712293</v>
      </c>
      <c r="E97" s="1286">
        <f>IF('Part III A-Sources of Funds'!$M$35="", 0,-'Part III A-Sources of Funds'!$M$35)</f>
        <v>-54508.615045712293</v>
      </c>
      <c r="F97" s="1286">
        <f>IF('Part III A-Sources of Funds'!$M$35="", 0,-'Part III A-Sources of Funds'!$M$35)</f>
        <v>-54508.615045712293</v>
      </c>
      <c r="G97" s="1286">
        <f>IF('Part III A-Sources of Funds'!$M$35="", 0,-'Part III A-Sources of Funds'!$M$35)</f>
        <v>-54508.615045712293</v>
      </c>
      <c r="H97" s="1286">
        <f>IF('Part III A-Sources of Funds'!$M$35="", 0,-'Part III A-Sources of Funds'!$M$35)</f>
        <v>-54508.615045712293</v>
      </c>
      <c r="I97" s="1286">
        <f>IF('Part III A-Sources of Funds'!$M$35="", 0,-'Part III A-Sources of Funds'!$M$35)</f>
        <v>-54508.615045712293</v>
      </c>
      <c r="J97" s="1286">
        <f>IF('Part III A-Sources of Funds'!$M$35="", 0,-'Part III A-Sources of Funds'!$M$35)</f>
        <v>-54508.615045712293</v>
      </c>
      <c r="K97" s="1286">
        <f>IF('Part III A-Sources of Funds'!$M$35="", 0,-'Part III A-Sources of Funds'!$M$35)</f>
        <v>-54508.615045712293</v>
      </c>
    </row>
    <row r="98" spans="1:11" ht="13.15" customHeight="1">
      <c r="A98" s="24" t="str">
        <f t="shared" si="43"/>
        <v>D/S Grant from fdn / charity</v>
      </c>
      <c r="B98" s="1286">
        <f>IF('Part III A-Sources of Funds'!$M$36="", 0,-'Part III A-Sources of Funds'!$M$36)</f>
        <v>0</v>
      </c>
      <c r="C98" s="1286">
        <f>IF('Part III A-Sources of Funds'!$M$36="", 0,-'Part III A-Sources of Funds'!$M$36)</f>
        <v>0</v>
      </c>
      <c r="D98" s="1286">
        <f>IF('Part III A-Sources of Funds'!$M$36="", 0,-'Part III A-Sources of Funds'!$M$36)</f>
        <v>0</v>
      </c>
      <c r="E98" s="1286">
        <f>IF('Part III A-Sources of Funds'!$M$36="", 0,-'Part III A-Sources of Funds'!$M$36)</f>
        <v>0</v>
      </c>
      <c r="F98" s="1286">
        <f>IF('Part III A-Sources of Funds'!$M$36="", 0,-'Part III A-Sources of Funds'!$M$36)</f>
        <v>0</v>
      </c>
      <c r="G98" s="1286">
        <f>IF('Part III A-Sources of Funds'!$M$36="", 0,-'Part III A-Sources of Funds'!$M$36)</f>
        <v>0</v>
      </c>
      <c r="H98" s="1286">
        <f>IF('Part III A-Sources of Funds'!$M$36="", 0,-'Part III A-Sources of Funds'!$M$36)</f>
        <v>0</v>
      </c>
      <c r="I98" s="1286">
        <f>IF('Part III A-Sources of Funds'!$M$36="", 0,-'Part III A-Sources of Funds'!$M$36)</f>
        <v>0</v>
      </c>
      <c r="J98" s="1286">
        <f>IF('Part III A-Sources of Funds'!$M$36="", 0,-'Part III A-Sources of Funds'!$M$36)</f>
        <v>0</v>
      </c>
      <c r="K98" s="1286">
        <f>IF('Part III A-Sources of Funds'!$M$36="", 0,-'Part III A-Sources of Funds'!$M$36)</f>
        <v>0</v>
      </c>
    </row>
    <row r="99" spans="1:11" ht="13.15" customHeight="1">
      <c r="A99" s="24" t="s">
        <v>1335</v>
      </c>
      <c r="B99" s="1287"/>
      <c r="C99" s="1287"/>
      <c r="D99" s="1287"/>
      <c r="E99" s="1287"/>
      <c r="F99" s="1287"/>
      <c r="G99" s="1287"/>
      <c r="H99" s="1287"/>
      <c r="I99" s="1287"/>
      <c r="J99" s="1287"/>
      <c r="K99" s="1287"/>
    </row>
    <row r="100" spans="1:11" ht="13.15" customHeight="1">
      <c r="A100" s="24" t="s">
        <v>1806</v>
      </c>
      <c r="B100" s="1286">
        <f>+K65*1.03</f>
        <v>-18061.11234669415</v>
      </c>
      <c r="C100" s="1286">
        <f t="shared" ref="C100:K100" si="44">+B100*1.03</f>
        <v>-18602.945717094975</v>
      </c>
      <c r="D100" s="1286">
        <f t="shared" si="44"/>
        <v>-19161.034088607827</v>
      </c>
      <c r="E100" s="1286">
        <f t="shared" si="44"/>
        <v>-19735.865111266063</v>
      </c>
      <c r="F100" s="1286">
        <f t="shared" si="44"/>
        <v>-20327.941064604045</v>
      </c>
      <c r="G100" s="1286">
        <f t="shared" si="44"/>
        <v>-20937.779296542169</v>
      </c>
      <c r="H100" s="1286">
        <f t="shared" si="44"/>
        <v>-21565.912675438434</v>
      </c>
      <c r="I100" s="1286">
        <f t="shared" si="44"/>
        <v>-22212.890055701588</v>
      </c>
      <c r="J100" s="1286">
        <f t="shared" si="44"/>
        <v>-22879.276757372634</v>
      </c>
      <c r="K100" s="1286">
        <f t="shared" si="44"/>
        <v>-23565.655060093814</v>
      </c>
    </row>
    <row r="101" spans="1:11" ht="13.15" customHeight="1">
      <c r="A101" s="24" t="s">
        <v>1863</v>
      </c>
      <c r="B101" s="1286">
        <v>0</v>
      </c>
      <c r="C101" s="1286">
        <v>0</v>
      </c>
      <c r="D101" s="1286">
        <v>0</v>
      </c>
      <c r="E101" s="1286">
        <v>0</v>
      </c>
      <c r="F101" s="1286">
        <v>0</v>
      </c>
      <c r="G101" s="1286">
        <v>0</v>
      </c>
      <c r="H101" s="1286">
        <v>0</v>
      </c>
      <c r="I101" s="1286">
        <v>0</v>
      </c>
      <c r="J101" s="1286">
        <v>0</v>
      </c>
      <c r="K101" s="1286">
        <v>0</v>
      </c>
    </row>
    <row r="102" spans="1:11" ht="13.15" customHeight="1">
      <c r="A102" s="24" t="s">
        <v>1807</v>
      </c>
      <c r="B102" s="1288">
        <f>+K67</f>
        <v>0</v>
      </c>
      <c r="C102" s="1288">
        <f t="shared" ref="C102:K102" si="45">+B102</f>
        <v>0</v>
      </c>
      <c r="D102" s="1288">
        <f t="shared" si="45"/>
        <v>0</v>
      </c>
      <c r="E102" s="1288">
        <f t="shared" si="45"/>
        <v>0</v>
      </c>
      <c r="F102" s="1288">
        <f t="shared" si="45"/>
        <v>0</v>
      </c>
      <c r="G102" s="1288">
        <f t="shared" si="45"/>
        <v>0</v>
      </c>
      <c r="H102" s="1288">
        <f t="shared" si="45"/>
        <v>0</v>
      </c>
      <c r="I102" s="1288">
        <f t="shared" si="45"/>
        <v>0</v>
      </c>
      <c r="J102" s="1288">
        <f t="shared" si="45"/>
        <v>0</v>
      </c>
      <c r="K102" s="1288">
        <f t="shared" si="45"/>
        <v>0</v>
      </c>
    </row>
    <row r="103" spans="1:11" ht="13.15" customHeight="1">
      <c r="A103" s="24" t="s">
        <v>1808</v>
      </c>
      <c r="B103" s="25">
        <f t="shared" ref="B103:K103" si="46">SUM(B92:B102)</f>
        <v>380292.37859871011</v>
      </c>
      <c r="C103" s="25">
        <f t="shared" si="46"/>
        <v>379371.92234645027</v>
      </c>
      <c r="D103" s="25">
        <f t="shared" si="46"/>
        <v>377846.87294095353</v>
      </c>
      <c r="E103" s="25">
        <f t="shared" si="46"/>
        <v>375687.79628699954</v>
      </c>
      <c r="F103" s="25">
        <f t="shared" si="46"/>
        <v>372866.27494179044</v>
      </c>
      <c r="G103" s="25">
        <f t="shared" si="46"/>
        <v>369350.87948610325</v>
      </c>
      <c r="H103" s="25">
        <f t="shared" si="46"/>
        <v>365109.13931633747</v>
      </c>
      <c r="I103" s="25">
        <f t="shared" si="46"/>
        <v>360109.51286252221</v>
      </c>
      <c r="J103" s="25">
        <f t="shared" si="46"/>
        <v>354317.35723908205</v>
      </c>
      <c r="K103" s="23">
        <f t="shared" si="46"/>
        <v>347696.89733695769</v>
      </c>
    </row>
    <row r="104" spans="1:11" ht="13.15" customHeight="1">
      <c r="A104" s="24" t="str">
        <f t="shared" ref="A104:A109" si="47">$A69</f>
        <v>DCR First Mortgage</v>
      </c>
      <c r="B104" s="27">
        <f>IF(B93=0,"",-B92/B93)</f>
        <v>1.9816527659687606</v>
      </c>
      <c r="C104" s="27">
        <f t="shared" ref="C104:K104" si="48">IF(C93=0,"",-C92/C93)</f>
        <v>1.9795437691249316</v>
      </c>
      <c r="D104" s="27">
        <f t="shared" si="48"/>
        <v>1.9761404828030078</v>
      </c>
      <c r="E104" s="27">
        <f t="shared" si="48"/>
        <v>1.9713779327599263</v>
      </c>
      <c r="F104" s="27">
        <f t="shared" si="48"/>
        <v>1.9651929091442373</v>
      </c>
      <c r="G104" s="27">
        <f t="shared" si="48"/>
        <v>1.95751566830155</v>
      </c>
      <c r="H104" s="27">
        <f t="shared" si="48"/>
        <v>1.9482739581957158</v>
      </c>
      <c r="I104" s="27">
        <f t="shared" si="48"/>
        <v>1.9373970411186832</v>
      </c>
      <c r="J104" s="27">
        <f t="shared" si="48"/>
        <v>1.9248073873594751</v>
      </c>
      <c r="K104" s="28">
        <f t="shared" si="48"/>
        <v>1.9104246922320507</v>
      </c>
    </row>
    <row r="105" spans="1:11" ht="13.15" customHeight="1">
      <c r="A105" s="24" t="str">
        <f t="shared" si="47"/>
        <v>DCR USDA/HUD Fee</v>
      </c>
      <c r="B105" s="27">
        <f>IF(OR(B94=0,AND(B94=0,B93=0)),"",-B92/(B93+B94))</f>
        <v>1.8849462961985186</v>
      </c>
      <c r="C105" s="27">
        <f t="shared" ref="C105:K105" si="49">IF(OR(C94=0,AND(C94=0,C93=0)),"",-C92/(C93+C94))</f>
        <v>1.8853274253571943</v>
      </c>
      <c r="D105" s="27">
        <f t="shared" si="49"/>
        <v>1.884629151727502</v>
      </c>
      <c r="E105" s="27">
        <f t="shared" si="49"/>
        <v>1.8827947713533384</v>
      </c>
      <c r="F105" s="27">
        <f t="shared" si="49"/>
        <v>1.8797689661833521</v>
      </c>
      <c r="G105" s="27">
        <f t="shared" si="49"/>
        <v>1.8754897861734245</v>
      </c>
      <c r="H105" s="27">
        <f t="shared" si="49"/>
        <v>1.8698923667024625</v>
      </c>
      <c r="I105" s="27">
        <f t="shared" si="49"/>
        <v>1.8629126619013339</v>
      </c>
      <c r="J105" s="27">
        <f t="shared" si="49"/>
        <v>1.8544793245362219</v>
      </c>
      <c r="K105" s="28">
        <f t="shared" si="49"/>
        <v>1.8445173664657366</v>
      </c>
    </row>
    <row r="106" spans="1:11" ht="13.15" customHeight="1">
      <c r="A106" s="24" t="str">
        <f t="shared" si="47"/>
        <v>DCR Second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f>IF(OR(B97=0,AND(B93=0,B94=0,B95=0,B96=0,B97=0)),"",-B92/(B93+B94+B95+B96+B97))</f>
        <v>1.7034961818720005</v>
      </c>
      <c r="C108" s="27">
        <f t="shared" ref="C108:K108" si="52">IF(OR(C97=0,AND(C93=0,C94=0,C95=0,C96=0,C97=0)),"",-C92/(C93+C94+C95+C96+C97))</f>
        <v>1.7036327067240837</v>
      </c>
      <c r="D108" s="27">
        <f t="shared" si="52"/>
        <v>1.7027799967348929</v>
      </c>
      <c r="E108" s="27">
        <f t="shared" si="52"/>
        <v>1.7008862584977771</v>
      </c>
      <c r="F108" s="27">
        <f t="shared" si="52"/>
        <v>1.6979009625062762</v>
      </c>
      <c r="G108" s="27">
        <f t="shared" si="52"/>
        <v>1.6937676065117728</v>
      </c>
      <c r="H108" s="27">
        <f t="shared" si="52"/>
        <v>1.6884270833163832</v>
      </c>
      <c r="I108" s="27">
        <f t="shared" si="52"/>
        <v>1.6818210612618534</v>
      </c>
      <c r="J108" s="27">
        <f t="shared" si="52"/>
        <v>1.6738846633413413</v>
      </c>
      <c r="K108" s="28">
        <f t="shared" si="52"/>
        <v>1.6645497877455024</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9">
        <f>IF(OR(B90="Choose mgt fee",B90="Choose One!"),"",(B84+B85+B86+B87+B88) / -(B89+B90+B91))</f>
        <v>1.4405394218362779</v>
      </c>
      <c r="C110" s="379">
        <f t="shared" ref="C110:K110" si="54">IF(OR(C90="Choose mgt fee",C90="Choose One!"),"",(C84+C85+C86+C87+C88) / -(C89+C90+C91))</f>
        <v>1.4275520049076633</v>
      </c>
      <c r="D110" s="379">
        <f t="shared" si="54"/>
        <v>1.4146727969770567</v>
      </c>
      <c r="E110" s="379">
        <f t="shared" si="54"/>
        <v>1.4019006189562822</v>
      </c>
      <c r="F110" s="379">
        <f t="shared" si="54"/>
        <v>1.3892355037135857</v>
      </c>
      <c r="G110" s="379">
        <f t="shared" si="54"/>
        <v>1.3766763002871605</v>
      </c>
      <c r="H110" s="379">
        <f t="shared" si="54"/>
        <v>1.3642219324901361</v>
      </c>
      <c r="I110" s="379">
        <f t="shared" si="54"/>
        <v>1.3518724001418834</v>
      </c>
      <c r="J110" s="379">
        <f t="shared" si="54"/>
        <v>1.339626641614809</v>
      </c>
      <c r="K110" s="380">
        <f t="shared" si="54"/>
        <v>1.3274836574580964</v>
      </c>
    </row>
    <row r="111" spans="1:11" ht="13.15" customHeight="1">
      <c r="A111" s="24" t="str">
        <f>IF('Part III A-Sources of Funds'!$E$32 = "Neither", "", "First Mortgage Balance")</f>
        <v>First Mortgage Balance</v>
      </c>
      <c r="B111" s="1289">
        <f>IF('Part III A-Sources of Funds'!$H$32="","",-FV('Part III A-Sources of Funds'!$J$32/12,12,B93/12,K76))</f>
        <v>5405643.9531963682</v>
      </c>
      <c r="C111" s="1289">
        <f>IF('Part III A-Sources of Funds'!$H$32="","",-FV('Part III A-Sources of Funds'!$J$32/12,12,C93/12,B111))</f>
        <v>5252389.730158776</v>
      </c>
      <c r="D111" s="1289">
        <f>IF('Part III A-Sources of Funds'!$H$32="","",-FV('Part III A-Sources of Funds'!$J$32/12,12,D93/12,C111))</f>
        <v>5089277.9173993198</v>
      </c>
      <c r="E111" s="1289">
        <f>IF('Part III A-Sources of Funds'!$H$32="","",-FV('Part III A-Sources of Funds'!$J$32/12,12,E93/12,D111))</f>
        <v>4915674.4568594443</v>
      </c>
      <c r="F111" s="1289">
        <f>IF('Part III A-Sources of Funds'!$H$32="","",-FV('Part III A-Sources of Funds'!$J$32/12,12,F93/12,E111))</f>
        <v>4730904.5067157019</v>
      </c>
      <c r="G111" s="1289">
        <f>IF('Part III A-Sources of Funds'!$H$32="","",-FV('Part III A-Sources of Funds'!$J$32/12,12,G93/12,F111))</f>
        <v>4534249.81809399</v>
      </c>
      <c r="H111" s="1289">
        <f>IF('Part III A-Sources of Funds'!$H$32="","",-FV('Part III A-Sources of Funds'!$J$32/12,12,H93/12,G111))</f>
        <v>4324945.9430492828</v>
      </c>
      <c r="I111" s="1289">
        <f>IF('Part III A-Sources of Funds'!$H$32="","",-FV('Part III A-Sources of Funds'!$J$32/12,12,I93/12,H111))</f>
        <v>4102179.2629575599</v>
      </c>
      <c r="J111" s="1289">
        <f>IF('Part III A-Sources of Funds'!$H$32="","",-FV('Part III A-Sources of Funds'!$J$32/12,12,J93/12,I111))</f>
        <v>3865083.8257685052</v>
      </c>
      <c r="K111" s="1289">
        <f>IF('Part III A-Sources of Funds'!$H$32="","",-FV('Part III A-Sources of Funds'!$J$32/12,12,K93/12,J111))</f>
        <v>3612737.9798245644</v>
      </c>
    </row>
    <row r="112" spans="1:11" ht="13.15" customHeight="1">
      <c r="A112" s="24" t="str">
        <f>IF('Part III A-Sources of Funds'!$E$32 = "Neither", "First Mortgage Balance", "Second Mortgage Balance")</f>
        <v>Second Mortgage Balance</v>
      </c>
      <c r="B112" s="1286" t="str">
        <f>IF('Part III A-Sources of Funds'!$H$33="","",-FV('Part III A-Sources of Funds'!$J$33/12,12,B95/12,K77))</f>
        <v/>
      </c>
      <c r="C112" s="1286" t="str">
        <f>IF('Part III A-Sources of Funds'!$H$33="","",-FV('Part III A-Sources of Funds'!$J$33/12,12,C95/12,B112))</f>
        <v/>
      </c>
      <c r="D112" s="1286" t="str">
        <f>IF('Part III A-Sources of Funds'!$H$33="","",-FV('Part III A-Sources of Funds'!$J$33/12,12,D95/12,C112))</f>
        <v/>
      </c>
      <c r="E112" s="1286" t="str">
        <f>IF('Part III A-Sources of Funds'!$H$33="","",-FV('Part III A-Sources of Funds'!$J$33/12,12,E95/12,D112))</f>
        <v/>
      </c>
      <c r="F112" s="1286" t="str">
        <f>IF('Part III A-Sources of Funds'!$H$33="","",-FV('Part III A-Sources of Funds'!$J$33/12,12,F95/12,E112))</f>
        <v/>
      </c>
      <c r="G112" s="1286" t="str">
        <f>IF('Part III A-Sources of Funds'!$H$33="","",-FV('Part III A-Sources of Funds'!$J$33/12,12,G95/12,F112))</f>
        <v/>
      </c>
      <c r="H112" s="1286" t="str">
        <f>IF('Part III A-Sources of Funds'!$H$33="","",-FV('Part III A-Sources of Funds'!$J$33/12,12,H95/12,G112))</f>
        <v/>
      </c>
      <c r="I112" s="1286" t="str">
        <f>IF('Part III A-Sources of Funds'!$H$33="","",-FV('Part III A-Sources of Funds'!$J$33/12,12,I95/12,H112))</f>
        <v/>
      </c>
      <c r="J112" s="1286" t="str">
        <f>IF('Part III A-Sources of Funds'!$H$33="","",-FV('Part III A-Sources of Funds'!$J$33/12,12,J95/12,I112))</f>
        <v/>
      </c>
      <c r="K112" s="1286" t="str">
        <f>IF('Part III A-Sources of Funds'!$H$33="","",-FV('Part III A-Sources of Funds'!$J$33/12,12,K95/12,J112))</f>
        <v/>
      </c>
    </row>
    <row r="113" spans="1:11" ht="13.15" customHeight="1">
      <c r="A113" s="24" t="str">
        <f>IF('Part III A-Sources of Funds'!$E$32 = "Neither", "Second Mortgage Balance", "Third Mortgage Balance")</f>
        <v>Third Mortgage Balance</v>
      </c>
      <c r="B113" s="1286" t="str">
        <f>IF('Part III A-Sources of Funds'!$H$34="","",-FV('Part III A-Sources of Funds'!$J$34/12,12,B96/12,K78))</f>
        <v/>
      </c>
      <c r="C113" s="1286" t="str">
        <f>IF('Part III A-Sources of Funds'!$H$34="","",-FV('Part III A-Sources of Funds'!$J$34/12,12,C96/12,B113))</f>
        <v/>
      </c>
      <c r="D113" s="1286" t="str">
        <f>IF('Part III A-Sources of Funds'!$H$34="","",-FV('Part III A-Sources of Funds'!$J$34/12,12,D96/12,C113))</f>
        <v/>
      </c>
      <c r="E113" s="1286" t="str">
        <f>IF('Part III A-Sources of Funds'!$H$34="","",-FV('Part III A-Sources of Funds'!$J$34/12,12,E96/12,D113))</f>
        <v/>
      </c>
      <c r="F113" s="1286" t="str">
        <f>IF('Part III A-Sources of Funds'!$H$34="","",-FV('Part III A-Sources of Funds'!$J$34/12,12,F96/12,E113))</f>
        <v/>
      </c>
      <c r="G113" s="1286" t="str">
        <f>IF('Part III A-Sources of Funds'!$H$34="","",-FV('Part III A-Sources of Funds'!$J$34/12,12,G96/12,F113))</f>
        <v/>
      </c>
      <c r="H113" s="1286" t="str">
        <f>IF('Part III A-Sources of Funds'!$H$34="","",-FV('Part III A-Sources of Funds'!$J$34/12,12,H96/12,G113))</f>
        <v/>
      </c>
      <c r="I113" s="1286" t="str">
        <f>IF('Part III A-Sources of Funds'!$H$34="","",-FV('Part III A-Sources of Funds'!$J$34/12,12,I96/12,H113))</f>
        <v/>
      </c>
      <c r="J113" s="1286" t="str">
        <f>IF('Part III A-Sources of Funds'!$H$34="","",-FV('Part III A-Sources of Funds'!$J$34/12,12,J96/12,I113))</f>
        <v/>
      </c>
      <c r="K113" s="1286" t="str">
        <f>IF('Part III A-Sources of Funds'!$H$34="","",-FV('Part III A-Sources of Funds'!$J$34/12,12,K96/12,J113))</f>
        <v/>
      </c>
    </row>
    <row r="114" spans="1:11" ht="13.15" customHeight="1">
      <c r="A114" s="24" t="s">
        <v>1363</v>
      </c>
      <c r="B114" s="1286">
        <f>IF('Part III A-Sources of Funds'!$H$35="","",-FV('Part III A-Sources of Funds'!$J$35/12,12,B97/12,K79))</f>
        <v>861024.190343717</v>
      </c>
      <c r="C114" s="1286">
        <f>IF('Part III A-Sources of Funds'!$H$35="","",-FV('Part III A-Sources of Funds'!$J$35/12,12,C97/12,B114))</f>
        <v>823392.34516255546</v>
      </c>
      <c r="D114" s="1286">
        <f>IF('Part III A-Sources of Funds'!$H$35="","",-FV('Part III A-Sources of Funds'!$J$35/12,12,D97/12,C114))</f>
        <v>785000.92543330614</v>
      </c>
      <c r="E114" s="1286">
        <f>IF('Part III A-Sources of Funds'!$H$35="","",-FV('Part III A-Sources of Funds'!$J$35/12,12,E97/12,D114))</f>
        <v>745834.59963312384</v>
      </c>
      <c r="F114" s="1286">
        <f>IF('Part III A-Sources of Funds'!$H$35="","",-FV('Part III A-Sources of Funds'!$J$35/12,12,F97/12,E114))</f>
        <v>705877.72678225301</v>
      </c>
      <c r="G114" s="1286">
        <f>IF('Part III A-Sources of Funds'!$H$35="","",-FV('Part III A-Sources of Funds'!$J$35/12,12,G97/12,F114))</f>
        <v>665114.35019783967</v>
      </c>
      <c r="H114" s="1286">
        <f>IF('Part III A-Sources of Funds'!$H$35="","",-FV('Part III A-Sources of Funds'!$J$35/12,12,H97/12,G114))</f>
        <v>623528.19112166751</v>
      </c>
      <c r="I114" s="1286">
        <f>IF('Part III A-Sources of Funds'!$H$35="","",-FV('Part III A-Sources of Funds'!$J$35/12,12,I97/12,H114))</f>
        <v>581102.64221927442</v>
      </c>
      <c r="J114" s="1286">
        <f>IF('Part III A-Sources of Funds'!$H$35="","",-FV('Part III A-Sources of Funds'!$J$35/12,12,J97/12,I114))</f>
        <v>537820.7609478524</v>
      </c>
      <c r="K114" s="1286">
        <f>IF('Part III A-Sources of Funds'!$H$35="","",-FV('Part III A-Sources of Funds'!$J$35/12,12,K97/12,J114))</f>
        <v>493665.26279028354</v>
      </c>
    </row>
    <row r="115" spans="1:11" ht="13.15" customHeight="1">
      <c r="A115" s="24" t="s">
        <v>1363</v>
      </c>
      <c r="B115" s="1286" t="str">
        <f>IF('Part III A-Sources of Funds'!$H$36="","",-FV('Part III A-Sources of Funds'!$J$36/12,12,B98/12,K80))</f>
        <v/>
      </c>
      <c r="C115" s="1286" t="str">
        <f>IF('Part III A-Sources of Funds'!$H$36="","",-FV('Part III A-Sources of Funds'!$J$36/12,12,C98/12,B115))</f>
        <v/>
      </c>
      <c r="D115" s="1286" t="str">
        <f>IF('Part III A-Sources of Funds'!$H$36="","",-FV('Part III A-Sources of Funds'!$J$36/12,12,D98/12,C115))</f>
        <v/>
      </c>
      <c r="E115" s="1286" t="str">
        <f>IF('Part III A-Sources of Funds'!$H$36="","",-FV('Part III A-Sources of Funds'!$J$36/12,12,E98/12,D115))</f>
        <v/>
      </c>
      <c r="F115" s="1286" t="str">
        <f>IF('Part III A-Sources of Funds'!$H$36="","",-FV('Part III A-Sources of Funds'!$J$36/12,12,F98/12,E115))</f>
        <v/>
      </c>
      <c r="G115" s="1286" t="str">
        <f>IF('Part III A-Sources of Funds'!$H$36="","",-FV('Part III A-Sources of Funds'!$J$36/12,12,G98/12,F115))</f>
        <v/>
      </c>
      <c r="H115" s="1286" t="str">
        <f>IF('Part III A-Sources of Funds'!$H$36="","",-FV('Part III A-Sources of Funds'!$J$36/12,12,H98/12,G115))</f>
        <v/>
      </c>
      <c r="I115" s="1286" t="str">
        <f>IF('Part III A-Sources of Funds'!$H$36="","",-FV('Part III A-Sources of Funds'!$J$36/12,12,I98/12,H115))</f>
        <v/>
      </c>
      <c r="J115" s="1286" t="str">
        <f>IF('Part III A-Sources of Funds'!$H$36="","",-FV('Part III A-Sources of Funds'!$J$36/12,12,J98/12,I115))</f>
        <v/>
      </c>
      <c r="K115" s="1286" t="str">
        <f>IF('Part III A-Sources of Funds'!$H$36="","",-FV('Part III A-Sources of Funds'!$J$36/12,12,K98/12,J115))</f>
        <v/>
      </c>
    </row>
    <row r="116" spans="1:11" ht="13.15" customHeight="1">
      <c r="A116" s="29" t="s">
        <v>1898</v>
      </c>
      <c r="B116" s="1288">
        <f>IF('Part III A-Sources of Funds'!$H$37="","",-FV('Part III A-Sources of Funds'!$J$37/12,12,B101/12,K81))</f>
        <v>0</v>
      </c>
      <c r="C116" s="1288">
        <f>IF('Part III A-Sources of Funds'!$H$37="","",-FV('Part III A-Sources of Funds'!$J$37/12,12,C101/12,B116))</f>
        <v>0</v>
      </c>
      <c r="D116" s="1288">
        <f>IF('Part III A-Sources of Funds'!$H$37="","",-FV('Part III A-Sources of Funds'!$J$37/12,12,D101/12,C116))</f>
        <v>0</v>
      </c>
      <c r="E116" s="1288">
        <f>IF('Part III A-Sources of Funds'!$H$37="","",-FV('Part III A-Sources of Funds'!$J$37/12,12,E101/12,D116))</f>
        <v>0</v>
      </c>
      <c r="F116" s="1288">
        <f>IF('Part III A-Sources of Funds'!$H$37="","",-FV('Part III A-Sources of Funds'!$J$37/12,12,F101/12,E116))</f>
        <v>0</v>
      </c>
      <c r="G116" s="1288">
        <f>IF('Part III A-Sources of Funds'!$H$37="","",-FV('Part III A-Sources of Funds'!$J$37/12,12,G101/12,F116))</f>
        <v>0</v>
      </c>
      <c r="H116" s="1288">
        <f>IF('Part III A-Sources of Funds'!$H$37="","",-FV('Part III A-Sources of Funds'!$J$37/12,12,H101/12,G116))</f>
        <v>0</v>
      </c>
      <c r="I116" s="1288">
        <f>IF('Part III A-Sources of Funds'!$H$37="","",-FV('Part III A-Sources of Funds'!$J$37/12,12,I101/12,H116))</f>
        <v>0</v>
      </c>
      <c r="J116" s="1288">
        <f>IF('Part III A-Sources of Funds'!$H$37="","",-FV('Part III A-Sources of Funds'!$J$37/12,12,J101/12,I116))</f>
        <v>0</v>
      </c>
      <c r="K116" s="1288">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4053283.8167480743</v>
      </c>
      <c r="C119" s="22">
        <f>$B$14*(1+$B$5)^(C118-1)</f>
        <v>4134349.4930830346</v>
      </c>
      <c r="D119" s="22">
        <f>$B$14*(1+$B$5)^(D118-1)</f>
        <v>4217036.4829446962</v>
      </c>
      <c r="E119" s="22">
        <f>$B$14*(1+$B$5)^(E118-1)</f>
        <v>4301377.2126035905</v>
      </c>
      <c r="F119" s="23">
        <f>$B$14*(1+$B$5)^(F118-1)</f>
        <v>4387404.756855662</v>
      </c>
      <c r="G119" s="31"/>
      <c r="H119" s="31"/>
      <c r="I119" s="31"/>
      <c r="J119" s="31"/>
      <c r="K119" s="31"/>
    </row>
    <row r="120" spans="1:11" ht="13.15" customHeight="1">
      <c r="A120" s="24" t="s">
        <v>1631</v>
      </c>
      <c r="B120" s="25">
        <f>$B$15*(1+$B$5)^(B118-1)</f>
        <v>81065.676334961478</v>
      </c>
      <c r="C120" s="25">
        <f>$B$15*(1+$B$5)^(C118-1)</f>
        <v>82686.989861660695</v>
      </c>
      <c r="D120" s="25">
        <f>$B$15*(1+$B$5)^(D118-1)</f>
        <v>84340.729658893921</v>
      </c>
      <c r="E120" s="25">
        <f>$B$15*(1+$B$5)^(E118-1)</f>
        <v>86027.544252071806</v>
      </c>
      <c r="F120" s="26">
        <f>$B$15*(1+$B$5)^(F118-1)</f>
        <v>87748.09513711324</v>
      </c>
      <c r="G120" s="31"/>
      <c r="H120" s="31"/>
      <c r="I120" s="31"/>
      <c r="J120" s="31"/>
      <c r="K120" s="31"/>
    </row>
    <row r="121" spans="1:11" ht="13.15" customHeight="1">
      <c r="A121" s="24" t="s">
        <v>3642</v>
      </c>
      <c r="B121" s="25">
        <f>-(B119+B120)*$B$8</f>
        <v>-289404.46451581252</v>
      </c>
      <c r="C121" s="25">
        <f>-(C119+C120)*$B$8</f>
        <v>-295192.55380612868</v>
      </c>
      <c r="D121" s="25">
        <f>-(D119+D120)*$B$8</f>
        <v>-301096.40488225134</v>
      </c>
      <c r="E121" s="25">
        <f>-(E119+E120)*$B$8</f>
        <v>-307118.3329798964</v>
      </c>
      <c r="F121" s="26">
        <f>-(F119+F120)*$B$8</f>
        <v>-313260.69963949424</v>
      </c>
      <c r="G121" s="31"/>
      <c r="H121" s="31"/>
      <c r="I121" s="31"/>
      <c r="J121" s="31"/>
      <c r="K121" s="31"/>
    </row>
    <row r="122" spans="1:11" ht="13.15" customHeight="1">
      <c r="A122" s="24" t="s">
        <v>61</v>
      </c>
      <c r="B122" s="1290"/>
      <c r="C122" s="1290"/>
      <c r="D122" s="1290"/>
      <c r="E122" s="1290"/>
      <c r="F122" s="1290"/>
      <c r="G122" s="31"/>
      <c r="H122" s="31"/>
      <c r="I122" s="31"/>
      <c r="J122" s="31"/>
      <c r="K122" s="31"/>
    </row>
    <row r="123" spans="1:11" ht="13.15" customHeight="1">
      <c r="A123" s="24" t="s">
        <v>62</v>
      </c>
      <c r="B123" s="1290"/>
      <c r="C123" s="1290"/>
      <c r="D123" s="1290"/>
      <c r="E123" s="1290"/>
      <c r="F123" s="1290"/>
      <c r="G123" s="31"/>
      <c r="H123" s="31"/>
      <c r="I123" s="31"/>
      <c r="J123" s="31"/>
      <c r="K123" s="31"/>
    </row>
    <row r="124" spans="1:11" ht="13.15" customHeight="1">
      <c r="A124" s="24" t="s">
        <v>947</v>
      </c>
      <c r="B124" s="25">
        <f>$B$19*(1+$B$6)^(B118-1)</f>
        <v>-2525770.4913204201</v>
      </c>
      <c r="C124" s="25">
        <f>$B$19*(1+$B$6)^(C118-1)</f>
        <v>-2601543.6060600332</v>
      </c>
      <c r="D124" s="25">
        <f>$B$19*(1+$B$6)^(D118-1)</f>
        <v>-2679589.9142418336</v>
      </c>
      <c r="E124" s="25">
        <f>$B$19*(1+$B$6)^(E118-1)</f>
        <v>-2759977.6116690887</v>
      </c>
      <c r="F124" s="26">
        <f>$B$19*(1+$B$6)^(F118-1)</f>
        <v>-2842776.940019161</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-192247</v>
      </c>
      <c r="C125" s="25">
        <f>IF(AND('Part VII-Pro Forma'!$G$8="Yes",'Part VII-Pro Forma'!$G$9="Yes"),"Choose One!",IF('Part VII-Pro Forma'!$G$8="Yes",ROUND((-$K$8*(1+'Part VII-Pro Forma'!$B$6)^('Part VII-Pro Forma'!C118-1)),),IF('Part VII-Pro Forma'!$G$9="Yes",ROUND((-(SUM(C119:C122)*'Part VII-Pro Forma'!$K$9)),),"Choose mgt fee")))</f>
        <v>-196092</v>
      </c>
      <c r="D125" s="25">
        <f>IF(AND('Part VII-Pro Forma'!$G$8="Yes",'Part VII-Pro Forma'!$G$9="Yes"),"Choose One!",IF('Part VII-Pro Forma'!$G$8="Yes",ROUND((-$K$8*(1+'Part VII-Pro Forma'!$B$6)^('Part VII-Pro Forma'!D118-1)),),IF('Part VII-Pro Forma'!$G$9="Yes",ROUND((-(SUM(D119:D122)*'Part VII-Pro Forma'!$K$9)),),"Choose mgt fee")))</f>
        <v>-200014</v>
      </c>
      <c r="E125" s="25">
        <f>IF(AND('Part VII-Pro Forma'!$G$8="Yes",'Part VII-Pro Forma'!$G$9="Yes"),"Choose One!",IF('Part VII-Pro Forma'!$G$8="Yes",ROUND((-$K$8*(1+'Part VII-Pro Forma'!$B$6)^('Part VII-Pro Forma'!E118-1)),),IF('Part VII-Pro Forma'!$G$9="Yes",ROUND((-(SUM(E119:E122)*'Part VII-Pro Forma'!$K$9)),),"Choose mgt fee")))</f>
        <v>-204014</v>
      </c>
      <c r="F125" s="25">
        <f>IF(AND('Part VII-Pro Forma'!$G$8="Yes",'Part VII-Pro Forma'!$G$9="Yes"),"Choose One!",IF('Part VII-Pro Forma'!$G$8="Yes",ROUND((-$K$8*(1+'Part VII-Pro Forma'!$B$6)^('Part VII-Pro Forma'!F118-1)),),IF('Part VII-Pro Forma'!$G$9="Yes",ROUND((-(SUM(F119:F122)*'Part VII-Pro Forma'!$K$9)),),"Choose mgt fee")))</f>
        <v>-208095</v>
      </c>
      <c r="G125" s="31"/>
      <c r="H125" s="31"/>
      <c r="I125" s="31"/>
      <c r="J125" s="31"/>
      <c r="K125" s="31"/>
    </row>
    <row r="126" spans="1:11" ht="13.15" customHeight="1">
      <c r="A126" s="24" t="s">
        <v>1861</v>
      </c>
      <c r="B126" s="25">
        <f>$B$21*(1+$B$7)^(B118-1)</f>
        <v>-204909.49781783103</v>
      </c>
      <c r="C126" s="25">
        <f>$B$21*(1+$B$7)^(C118-1)</f>
        <v>-211056.78275236598</v>
      </c>
      <c r="D126" s="25">
        <f>$B$21*(1+$B$7)^(D118-1)</f>
        <v>-217388.48623493692</v>
      </c>
      <c r="E126" s="25">
        <f>$B$21*(1+$B$7)^(E118-1)</f>
        <v>-223910.14082198503</v>
      </c>
      <c r="F126" s="26">
        <f>$B$21*(1+$B$7)^(F118-1)</f>
        <v>-230627.44504664454</v>
      </c>
      <c r="G126" s="31"/>
      <c r="H126" s="31"/>
      <c r="I126" s="31"/>
      <c r="J126" s="31"/>
      <c r="K126" s="31"/>
    </row>
    <row r="127" spans="1:11" ht="13.15" customHeight="1">
      <c r="A127" s="24" t="s">
        <v>1862</v>
      </c>
      <c r="B127" s="25">
        <f>SUM(B119:B126)</f>
        <v>922018.03942897182</v>
      </c>
      <c r="C127" s="25">
        <f>SUM(C119:C126)</f>
        <v>913151.54032616713</v>
      </c>
      <c r="D127" s="25">
        <f>SUM(D119:D126)</f>
        <v>903288.40724456869</v>
      </c>
      <c r="E127" s="25">
        <f>SUM(E119:E126)</f>
        <v>892384.67138469173</v>
      </c>
      <c r="F127" s="26">
        <f>SUM(F119:F126)</f>
        <v>880392.76728747517</v>
      </c>
      <c r="G127" s="31"/>
      <c r="H127" s="31"/>
      <c r="I127" s="31"/>
      <c r="J127" s="31"/>
      <c r="K127" s="31"/>
    </row>
    <row r="128" spans="1:11" ht="13.15" customHeight="1">
      <c r="A128" s="24" t="str">
        <f t="shared" ref="A128:A133" si="55">$A93</f>
        <v>D/S USDA/HUD Mortgage</v>
      </c>
      <c r="B128" s="286">
        <f>IF('Part III A-Sources of Funds'!$M$32="", 0,-'Part III A-Sources of Funds'!$M$32)</f>
        <v>-486766.28439441242</v>
      </c>
      <c r="C128" s="286">
        <f>IF('Part III A-Sources of Funds'!$M$32="", 0,-'Part III A-Sources of Funds'!$M$32)</f>
        <v>-486766.28439441242</v>
      </c>
      <c r="D128" s="286">
        <f>IF('Part III A-Sources of Funds'!$M$32="", 0,-'Part III A-Sources of Funds'!$M$32)</f>
        <v>-486766.28439441242</v>
      </c>
      <c r="E128" s="286">
        <f>IF('Part III A-Sources of Funds'!$M$32="", 0,-'Part III A-Sources of Funds'!$M$32)</f>
        <v>-486766.28439441242</v>
      </c>
      <c r="F128" s="286">
        <f>IF('Part III A-Sources of Funds'!$M$32="", 0,-'Part III A-Sources of Funds'!$M$32)</f>
        <v>-486766.28439441242</v>
      </c>
      <c r="G128" s="31"/>
      <c r="H128" s="31"/>
      <c r="I128" s="31"/>
      <c r="J128" s="31"/>
      <c r="K128" s="31"/>
    </row>
    <row r="129" spans="1:12" ht="13.15" customHeight="1">
      <c r="A129" s="24" t="str">
        <f t="shared" si="55"/>
        <v>HUD MIP</v>
      </c>
      <c r="B129" s="287">
        <f>IF('Part III A-Sources of Funds'!$E$32="USDA 538 Loan", -'Part III B-USDA 538 Loan'!$C47,IF('Part III A-Sources of Funds'!$E$32="HUD Insured Loan", -'Part III C-HUD Insured Loan'!$E38,0))</f>
        <v>-16257.320909210255</v>
      </c>
      <c r="C129" s="287">
        <f>IF('Part III A-Sources of Funds'!$E$32="USDA 538 Loan", -'Part III B-USDA 538 Loan'!$C48,IF('Part III A-Sources of Funds'!$E$32="HUD Insured Loan", -'Part III C-HUD Insured Loan'!$E39,0))</f>
        <v>-15048.7235602248</v>
      </c>
      <c r="D129" s="287">
        <f>IF('Part III A-Sources of Funds'!$E$32="USDA 538 Loan", -'Part III B-USDA 538 Loan'!$C49,IF('Part III A-Sources of Funds'!$E$32="HUD Insured Loan", -'Part III C-HUD Insured Loan'!$E40,0))</f>
        <v>-13762.387036624174</v>
      </c>
      <c r="E129" s="287">
        <f>IF('Part III A-Sources of Funds'!$E$32="USDA 538 Loan", -'Part III B-USDA 538 Loan'!$C50,IF('Part III A-Sources of Funds'!$E$32="HUD Insured Loan", -'Part III C-HUD Insured Loan'!$E41,0))</f>
        <v>-12393.311013631128</v>
      </c>
      <c r="F129" s="287">
        <f>IF('Part III A-Sources of Funds'!$E$32="USDA 538 Loan", -'Part III B-USDA 538 Loan'!$C51,IF('Part III A-Sources of Funds'!$E$32="HUD Insured Loan", -'Part III C-HUD Insured Loan'!$E42,0))</f>
        <v>-10936.173536505126</v>
      </c>
      <c r="G129" s="31"/>
      <c r="H129" s="31"/>
      <c r="I129" s="31"/>
      <c r="J129" s="31"/>
      <c r="K129" s="31"/>
    </row>
    <row r="130" spans="1:12" ht="13.15" customHeight="1">
      <c r="A130" s="24" t="str">
        <f t="shared" si="55"/>
        <v>D/S Mortgage B</v>
      </c>
      <c r="B130" s="1286">
        <f>IF('Part III A-Sources of Funds'!$M$33="", 0,-'Part III A-Sources of Funds'!$M$33)</f>
        <v>0</v>
      </c>
      <c r="C130" s="1286">
        <f>IF('Part III A-Sources of Funds'!$M$33="", 0,-'Part III A-Sources of Funds'!$M$33)</f>
        <v>0</v>
      </c>
      <c r="D130" s="1286">
        <f>IF('Part III A-Sources of Funds'!$M$33="", 0,-'Part III A-Sources of Funds'!$M$33)</f>
        <v>0</v>
      </c>
      <c r="E130" s="1286">
        <f>IF('Part III A-Sources of Funds'!$M$33="", 0,-'Part III A-Sources of Funds'!$M$33)</f>
        <v>0</v>
      </c>
      <c r="F130" s="1286">
        <f>IF('Part III A-Sources of Funds'!$M$33="", 0,-'Part III A-Sources of Funds'!$M$33)</f>
        <v>0</v>
      </c>
      <c r="G130" s="31"/>
      <c r="H130" s="31"/>
      <c r="I130" s="31"/>
      <c r="J130" s="31"/>
      <c r="K130" s="31"/>
    </row>
    <row r="131" spans="1:12" ht="13.15" customHeight="1">
      <c r="A131" s="24" t="str">
        <f t="shared" si="55"/>
        <v>D/S Mortgage C</v>
      </c>
      <c r="B131" s="1286">
        <f>IF('Part III A-Sources of Funds'!$M$34="", 0,-'Part III A-Sources of Funds'!$M$34)</f>
        <v>0</v>
      </c>
      <c r="C131" s="1286">
        <f>IF('Part III A-Sources of Funds'!$M$34="", 0,-'Part III A-Sources of Funds'!$M$34)</f>
        <v>0</v>
      </c>
      <c r="D131" s="1286">
        <f>IF('Part III A-Sources of Funds'!$M$34="", 0,-'Part III A-Sources of Funds'!$M$34)</f>
        <v>0</v>
      </c>
      <c r="E131" s="1286">
        <f>IF('Part III A-Sources of Funds'!$M$34="", 0,-'Part III A-Sources of Funds'!$M$34)</f>
        <v>0</v>
      </c>
      <c r="F131" s="1286">
        <f>IF('Part III A-Sources of Funds'!$M$34="", 0,-'Part III A-Sources of Funds'!$M$34)</f>
        <v>0</v>
      </c>
      <c r="G131" s="31"/>
      <c r="H131" s="31"/>
      <c r="I131" s="31"/>
      <c r="J131" s="31"/>
      <c r="K131" s="31"/>
    </row>
    <row r="132" spans="1:12" ht="13.15" customHeight="1">
      <c r="A132" s="24" t="str">
        <f t="shared" si="55"/>
        <v>D/S Other Source</v>
      </c>
      <c r="B132" s="1286">
        <f>IF('Part III A-Sources of Funds'!$M$35="", 0,-'Part III A-Sources of Funds'!$M$35)</f>
        <v>-54508.615045712293</v>
      </c>
      <c r="C132" s="1286">
        <f>IF('Part III A-Sources of Funds'!$M$35="", 0,-'Part III A-Sources of Funds'!$M$35)</f>
        <v>-54508.615045712293</v>
      </c>
      <c r="D132" s="1286">
        <f>IF('Part III A-Sources of Funds'!$M$35="", 0,-'Part III A-Sources of Funds'!$M$35)</f>
        <v>-54508.615045712293</v>
      </c>
      <c r="E132" s="1286">
        <f>IF('Part III A-Sources of Funds'!$M$35="", 0,-'Part III A-Sources of Funds'!$M$35)</f>
        <v>-54508.615045712293</v>
      </c>
      <c r="F132" s="1286">
        <f>IF('Part III A-Sources of Funds'!$M$35="", 0,-'Part III A-Sources of Funds'!$M$35)</f>
        <v>-54508.615045712293</v>
      </c>
      <c r="G132" s="31"/>
      <c r="H132" s="31"/>
      <c r="I132" s="31"/>
      <c r="J132" s="31"/>
      <c r="K132" s="31"/>
    </row>
    <row r="133" spans="1:12" ht="13.15" customHeight="1">
      <c r="A133" s="24" t="str">
        <f t="shared" si="55"/>
        <v>D/S Grant from fdn / charity</v>
      </c>
      <c r="B133" s="1286">
        <f>IF('Part III A-Sources of Funds'!$M$36="", 0,-'Part III A-Sources of Funds'!$M$36)</f>
        <v>0</v>
      </c>
      <c r="C133" s="1286">
        <f>IF('Part III A-Sources of Funds'!$M$36="", 0,-'Part III A-Sources of Funds'!$M$36)</f>
        <v>0</v>
      </c>
      <c r="D133" s="1286">
        <f>IF('Part III A-Sources of Funds'!$M$36="", 0,-'Part III A-Sources of Funds'!$M$36)</f>
        <v>0</v>
      </c>
      <c r="E133" s="1286">
        <f>IF('Part III A-Sources of Funds'!$M$36="", 0,-'Part III A-Sources of Funds'!$M$36)</f>
        <v>0</v>
      </c>
      <c r="F133" s="1286">
        <f>IF('Part III A-Sources of Funds'!$M$36="", 0,-'Part III A-Sources of Funds'!$M$36)</f>
        <v>0</v>
      </c>
      <c r="G133" s="31"/>
      <c r="H133" s="31"/>
      <c r="I133" s="31"/>
      <c r="J133" s="31"/>
      <c r="K133" s="31"/>
    </row>
    <row r="134" spans="1:12" ht="13.15" customHeight="1">
      <c r="A134" s="24" t="s">
        <v>1335</v>
      </c>
      <c r="B134" s="1287"/>
      <c r="C134" s="1287"/>
      <c r="D134" s="1287"/>
      <c r="E134" s="1287"/>
      <c r="F134" s="1287"/>
      <c r="G134" s="31"/>
      <c r="H134" s="31"/>
      <c r="I134" s="31"/>
      <c r="J134" s="31"/>
      <c r="K134" s="31"/>
    </row>
    <row r="135" spans="1:12" ht="13.15" customHeight="1">
      <c r="A135" s="24" t="s">
        <v>1806</v>
      </c>
      <c r="B135" s="1286">
        <f>+K100</f>
        <v>-23565.655060093814</v>
      </c>
      <c r="C135" s="1286">
        <f>+B135</f>
        <v>-23565.655060093814</v>
      </c>
      <c r="D135" s="1286">
        <f>+C135</f>
        <v>-23565.655060093814</v>
      </c>
      <c r="E135" s="1286">
        <f>+D135</f>
        <v>-23565.655060093814</v>
      </c>
      <c r="F135" s="1286">
        <f>+E135</f>
        <v>-23565.655060093814</v>
      </c>
      <c r="G135" s="31"/>
      <c r="H135" s="31"/>
      <c r="I135" s="31"/>
      <c r="J135" s="31"/>
      <c r="K135" s="31"/>
    </row>
    <row r="136" spans="1:12" ht="13.15" customHeight="1">
      <c r="A136" s="24" t="s">
        <v>1863</v>
      </c>
      <c r="B136" s="1286">
        <v>0</v>
      </c>
      <c r="C136" s="1286">
        <v>0</v>
      </c>
      <c r="D136" s="1286">
        <v>0</v>
      </c>
      <c r="E136" s="1286">
        <v>0</v>
      </c>
      <c r="F136" s="1286">
        <v>0</v>
      </c>
      <c r="G136" s="31"/>
      <c r="H136" s="31"/>
      <c r="I136" s="31"/>
      <c r="J136" s="31"/>
      <c r="K136" s="31"/>
    </row>
    <row r="137" spans="1:12" ht="13.15" customHeight="1">
      <c r="A137" s="24" t="s">
        <v>1807</v>
      </c>
      <c r="B137" s="1288">
        <f>+K102</f>
        <v>0</v>
      </c>
      <c r="C137" s="1288">
        <f>+B137</f>
        <v>0</v>
      </c>
      <c r="D137" s="1288">
        <f>+C137</f>
        <v>0</v>
      </c>
      <c r="E137" s="1288">
        <f>+D137</f>
        <v>0</v>
      </c>
      <c r="F137" s="1288">
        <f>+E137</f>
        <v>0</v>
      </c>
      <c r="G137" s="31"/>
      <c r="H137" s="31"/>
      <c r="I137" s="31"/>
      <c r="J137" s="31"/>
      <c r="K137" s="31"/>
    </row>
    <row r="138" spans="1:12" ht="13.15" customHeight="1">
      <c r="A138" s="24" t="s">
        <v>1808</v>
      </c>
      <c r="B138" s="25">
        <f>SUM(B127:B137)</f>
        <v>340920.1640195431</v>
      </c>
      <c r="C138" s="25">
        <f>SUM(C127:C137)</f>
        <v>333262.26226572384</v>
      </c>
      <c r="D138" s="25">
        <f>SUM(D127:D137)</f>
        <v>324685.46570772602</v>
      </c>
      <c r="E138" s="25">
        <f>SUM(E127:E137)</f>
        <v>315150.80587084213</v>
      </c>
      <c r="F138" s="26">
        <f>SUM(F127:F137)</f>
        <v>304616.03925075155</v>
      </c>
      <c r="G138" s="31"/>
      <c r="H138" s="31"/>
      <c r="I138" s="31"/>
      <c r="J138" s="31"/>
      <c r="K138" s="31"/>
    </row>
    <row r="139" spans="1:12" ht="13.15" customHeight="1">
      <c r="A139" s="24" t="str">
        <f t="shared" ref="A139:A144" si="56">$A104</f>
        <v>DCR First Mortgage</v>
      </c>
      <c r="B139" s="27">
        <f>IF(B128=0,"",-B127/B128)</f>
        <v>1.8941698901271635</v>
      </c>
      <c r="C139" s="27">
        <f>IF(C128=0,"",-C127/C128)</f>
        <v>1.8759547848763232</v>
      </c>
      <c r="D139" s="27">
        <f>IF(D128=0,"",-D127/D128)</f>
        <v>1.8556922206893456</v>
      </c>
      <c r="E139" s="27">
        <f>IF(E128=0,"",-E127/E128)</f>
        <v>1.8332918692076434</v>
      </c>
      <c r="F139" s="28">
        <f>IF(F128=0,"",-F127/F128)</f>
        <v>1.8086560131887006</v>
      </c>
      <c r="G139" s="31"/>
      <c r="H139" s="31"/>
      <c r="I139" s="31"/>
      <c r="J139" s="31"/>
      <c r="K139" s="31"/>
    </row>
    <row r="140" spans="1:12" ht="13.15" customHeight="1">
      <c r="A140" s="24" t="str">
        <f t="shared" si="56"/>
        <v>DCR USDA/HUD Fee</v>
      </c>
      <c r="B140" s="27">
        <f>IF(OR(B129=0,AND(B129=0,B128=0)),"",-B127/(B128+B129))</f>
        <v>1.8329518330903101</v>
      </c>
      <c r="C140" s="27">
        <f>IF(OR(C129=0,AND(C129=0,C128=0)),"",-C127/(C128+C129))</f>
        <v>1.8196975495972285</v>
      </c>
      <c r="D140" s="27">
        <f>IF(OR(D129=0,AND(D129=0,D128=0)),"",-D127/(D128+D129))</f>
        <v>1.8046686609620619</v>
      </c>
      <c r="E140" s="27">
        <f>IF(OR(E129=0,AND(E129=0,E128=0)),"",-E127/(E128+E129))</f>
        <v>1.7877742501477949</v>
      </c>
      <c r="F140" s="28">
        <f>IF(OR(F129=0,AND(F129=0,F128=0)),"",-F127/(F128+F129))</f>
        <v>1.7689138425144688</v>
      </c>
      <c r="G140" s="27"/>
      <c r="H140" s="27"/>
      <c r="I140" s="27"/>
      <c r="J140" s="27"/>
      <c r="K140" s="27"/>
      <c r="L140" s="19"/>
    </row>
    <row r="141" spans="1:12" ht="13.15" customHeight="1">
      <c r="A141" s="24" t="str">
        <f t="shared" si="56"/>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f>IF(OR(B132=0,AND(B128=0,B129=0,B130=0,B131=0,B132=0)),"",-B127/(B128+B129+B130+B131+B132))</f>
        <v>1.6537484395991673</v>
      </c>
      <c r="C143" s="27">
        <f>IF(OR(C132=0,AND(C128=0,C129=0,C130=0,C131=0,C132=0)),"",-C127/(C128+C129+C130+C131+C132))</f>
        <v>1.6414034971252578</v>
      </c>
      <c r="D143" s="27">
        <f>IF(OR(D132=0,AND(D128=0,D129=0,D130=0,D131=0,D132=0)),"",-D127/(D128+D129+D130+D131+D132))</f>
        <v>1.6274373438556518</v>
      </c>
      <c r="E143" s="27">
        <f>IF(OR(E132=0,AND(E128=0,E129=0,E130=0,E131=0,E132=0)),"",-E127/(E128+E129+E130+E131+E132))</f>
        <v>1.6117679406829999</v>
      </c>
      <c r="F143" s="28">
        <f>IF(OR(F132=0,AND(F128=0,F129=0,F130=0,F131=0,F132=0)),"",-F127/(F128+F129+F130+F131+F132))</f>
        <v>1.5943048054828381</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1.3154434041134926</v>
      </c>
      <c r="C145" s="379">
        <f>IF(OR(C125="Choose mgt fee",C125="Choose One!"),"",(C119+C120+C121+C122+C123) / -(C124+C125+C126))</f>
        <v>1.303504453868948</v>
      </c>
      <c r="D145" s="379">
        <f>IF(OR(D125="Choose mgt fee",D125="Choose One!"),"",(D119+D120+D121+D122+D123) / -(D124+D125+D126))</f>
        <v>1.2916663299223823</v>
      </c>
      <c r="E145" s="379">
        <f>IF(OR(E125="Choose mgt fee",E125="Choose One!"),"",(E119+E120+E121+E122+E123) / -(E124+E125+E126))</f>
        <v>1.2799285362816997</v>
      </c>
      <c r="F145" s="380">
        <f>IF(OR(F125="Choose mgt fee",F125="Choose One!"),"",(F119+F120+F121+F122+F123) / -(F124+F125+F126))</f>
        <v>1.268289785850385</v>
      </c>
      <c r="G145" s="31"/>
      <c r="H145" s="31"/>
      <c r="I145" s="31"/>
      <c r="J145" s="31"/>
      <c r="K145" s="31"/>
    </row>
    <row r="146" spans="1:14" ht="13.15" customHeight="1">
      <c r="A146" s="24" t="str">
        <f>IF('Part III A-Sources of Funds'!$E$32 = "Neither", "", "First Mortgage Balance")</f>
        <v>First Mortgage Balance</v>
      </c>
      <c r="B146" s="1289">
        <f>IF('Part III A-Sources of Funds'!$H$32="","",-FV('Part III A-Sources of Funds'!$J$32/12,12,B128/12,K111))</f>
        <v>3344160.7911611353</v>
      </c>
      <c r="C146" s="1289">
        <f>IF('Part III A-Sources of Funds'!$H$32="","",-FV('Part III A-Sources of Funds'!$J$32/12,12,C128/12,B146))</f>
        <v>3058308.2303610025</v>
      </c>
      <c r="D146" s="1289">
        <f>IF('Part III A-Sources of Funds'!$H$32="","",-FV('Part III A-Sources of Funds'!$J$32/12,12,D128/12,C146))</f>
        <v>2754069.1141403336</v>
      </c>
      <c r="E146" s="1289">
        <f>IF('Part III A-Sources of Funds'!$H$32="","",-FV('Part III A-Sources of Funds'!$J$32/12,12,E128/12,D146))</f>
        <v>2430260.7858901192</v>
      </c>
      <c r="F146" s="1289">
        <f>IF('Part III A-Sources of Funds'!$H$32="","",-FV('Part III A-Sources of Funds'!$J$32/12,12,F128/12,E146))</f>
        <v>2085624.5183822028</v>
      </c>
      <c r="G146" s="31"/>
      <c r="H146" s="31"/>
      <c r="I146" s="31"/>
      <c r="J146" s="31"/>
      <c r="K146" s="31"/>
    </row>
    <row r="147" spans="1:14" ht="13.15" customHeight="1">
      <c r="A147" s="24" t="str">
        <f>IF('Part III A-Sources of Funds'!$E$32 = "Neither", "First Mortgage Balance", "Second Mortgage Balance")</f>
        <v>Second Mortgage Balance</v>
      </c>
      <c r="B147" s="1286" t="str">
        <f>IF('Part III A-Sources of Funds'!$H$33="","",-FV('Part III A-Sources of Funds'!$J$33/12,12,B130/12,K112))</f>
        <v/>
      </c>
      <c r="C147" s="1286" t="str">
        <f>IF('Part III A-Sources of Funds'!$H$33="","",-FV('Part III A-Sources of Funds'!$J$33/12,12,C130/12,B147))</f>
        <v/>
      </c>
      <c r="D147" s="1286" t="str">
        <f>IF('Part III A-Sources of Funds'!$H$33="","",-FV('Part III A-Sources of Funds'!$J$33/12,12,D130/12,C147))</f>
        <v/>
      </c>
      <c r="E147" s="1286" t="str">
        <f>IF('Part III A-Sources of Funds'!$H$33="","",-FV('Part III A-Sources of Funds'!$J$33/12,12,E130/12,D147))</f>
        <v/>
      </c>
      <c r="F147" s="1286"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Third Mortgage Balance</v>
      </c>
      <c r="B148" s="1286" t="str">
        <f>IF('Part III A-Sources of Funds'!$H$34="","",-FV('Part III A-Sources of Funds'!$J$34/12,12,B131/12,K113))</f>
        <v/>
      </c>
      <c r="C148" s="1286" t="str">
        <f>IF('Part III A-Sources of Funds'!$H$34="","",-FV('Part III A-Sources of Funds'!$J$34/12,12,C131/12,B148))</f>
        <v/>
      </c>
      <c r="D148" s="1286" t="str">
        <f>IF('Part III A-Sources of Funds'!$H$34="","",-FV('Part III A-Sources of Funds'!$J$34/12,12,D131/12,C148))</f>
        <v/>
      </c>
      <c r="E148" s="1286" t="str">
        <f>IF('Part III A-Sources of Funds'!$H$34="","",-FV('Part III A-Sources of Funds'!$J$34/12,12,E131/12,D148))</f>
        <v/>
      </c>
      <c r="F148" s="1286" t="str">
        <f>IF('Part III A-Sources of Funds'!$H$34="","",-FV('Part III A-Sources of Funds'!$J$34/12,12,F131/12,E148))</f>
        <v/>
      </c>
      <c r="G148" s="31"/>
      <c r="H148" s="31"/>
      <c r="I148" s="31"/>
      <c r="J148" s="31"/>
      <c r="K148" s="31"/>
    </row>
    <row r="149" spans="1:14" ht="13.15" customHeight="1">
      <c r="A149" s="24" t="s">
        <v>1363</v>
      </c>
      <c r="B149" s="1286">
        <f>IF('Part III A-Sources of Funds'!$H$35="","",-FV('Part III A-Sources of Funds'!$J$35/12,12,B132/12,K114))</f>
        <v>448618.51435260836</v>
      </c>
      <c r="C149" s="1286">
        <f>IF('Part III A-Sources of Funds'!$H$35="","",-FV('Part III A-Sources of Funds'!$J$35/12,12,C132/12,B149))</f>
        <v>402662.52632217202</v>
      </c>
      <c r="D149" s="1286">
        <f>IF('Part III A-Sources of Funds'!$H$35="","",-FV('Part III A-Sources of Funds'!$J$35/12,12,D132/12,C149))</f>
        <v>355778.94628363452</v>
      </c>
      <c r="E149" s="1286">
        <f>IF('Part III A-Sources of Funds'!$H$35="","",-FV('Part III A-Sources of Funds'!$J$35/12,12,E132/12,D149))</f>
        <v>307949.05138997699</v>
      </c>
      <c r="F149" s="1286">
        <f>IF('Part III A-Sources of Funds'!$H$35="","",-FV('Part III A-Sources of Funds'!$J$35/12,12,F132/12,E149))</f>
        <v>259153.74088557696</v>
      </c>
      <c r="G149" s="31"/>
      <c r="H149" s="31"/>
      <c r="I149" s="31"/>
      <c r="J149" s="31"/>
      <c r="K149" s="31"/>
    </row>
    <row r="150" spans="1:14" ht="13.15" customHeight="1">
      <c r="A150" s="24" t="s">
        <v>1363</v>
      </c>
      <c r="B150" s="1286" t="str">
        <f>IF('Part III A-Sources of Funds'!$H$36="","",-FV('Part III A-Sources of Funds'!$J$36/12,12,B133/12,K115))</f>
        <v/>
      </c>
      <c r="C150" s="1286" t="str">
        <f>IF('Part III A-Sources of Funds'!$H$36="","",-FV('Part III A-Sources of Funds'!$J$36/12,12,C133/12,B150))</f>
        <v/>
      </c>
      <c r="D150" s="1286" t="str">
        <f>IF('Part III A-Sources of Funds'!$H$36="","",-FV('Part III A-Sources of Funds'!$J$36/12,12,D133/12,C150))</f>
        <v/>
      </c>
      <c r="E150" s="1286" t="str">
        <f>IF('Part III A-Sources of Funds'!$H$36="","",-FV('Part III A-Sources of Funds'!$J$36/12,12,E133/12,D150))</f>
        <v/>
      </c>
      <c r="F150" s="1286" t="str">
        <f>IF('Part III A-Sources of Funds'!$H$36="","",-FV('Part III A-Sources of Funds'!$J$36/12,12,F133/12,E150))</f>
        <v/>
      </c>
      <c r="G150" s="31"/>
      <c r="H150" s="31"/>
      <c r="I150" s="31"/>
      <c r="J150" s="31"/>
      <c r="K150" s="31"/>
    </row>
    <row r="151" spans="1:14" ht="13.15" customHeight="1">
      <c r="A151" s="29" t="s">
        <v>1898</v>
      </c>
      <c r="B151" s="1288">
        <f>IF('Part III A-Sources of Funds'!$H$37="","",-FV('Part III A-Sources of Funds'!$J$37/12,12,B136/12,K116))</f>
        <v>0</v>
      </c>
      <c r="C151" s="1288">
        <f>IF('Part III A-Sources of Funds'!$H$37="","",-FV('Part III A-Sources of Funds'!$J$37/12,12,C136/12,B151))</f>
        <v>0</v>
      </c>
      <c r="D151" s="1288">
        <f>IF('Part III A-Sources of Funds'!$H$37="","",-FV('Part III A-Sources of Funds'!$J$37/12,12,D136/12,C151))</f>
        <v>0</v>
      </c>
      <c r="E151" s="1288">
        <f>IF('Part III A-Sources of Funds'!$H$37="","",-FV('Part III A-Sources of Funds'!$J$37/12,12,E136/12,D151))</f>
        <v>0</v>
      </c>
      <c r="F151" s="1288">
        <f>IF('Part III A-Sources of Funds'!$H$37="","",-FV('Part III A-Sources of Funds'!$J$37/12,12,F136/12,E151))</f>
        <v>0</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146.25" customHeight="1">
      <c r="A155" s="1291" t="s">
        <v>4002</v>
      </c>
      <c r="B155" s="1292"/>
      <c r="C155" s="1292"/>
      <c r="D155" s="1292"/>
      <c r="E155" s="1292"/>
      <c r="F155" s="1293"/>
      <c r="G155" s="1294"/>
      <c r="H155" s="1292"/>
      <c r="I155" s="1292"/>
      <c r="J155" s="1292"/>
      <c r="K155" s="1293"/>
    </row>
    <row r="156" spans="1:14" s="2" customFormat="1" ht="73.900000000000006" customHeight="1">
      <c r="A156" s="1295" t="s">
        <v>4039</v>
      </c>
      <c r="B156" s="1296"/>
      <c r="C156" s="1296"/>
      <c r="D156" s="1296"/>
      <c r="E156" s="1296"/>
      <c r="F156" s="1297"/>
      <c r="G156" s="1298"/>
      <c r="H156" s="1296"/>
      <c r="I156" s="1296"/>
      <c r="J156" s="1296"/>
      <c r="K156" s="1297"/>
      <c r="L156" s="9"/>
      <c r="M156" s="9"/>
      <c r="N156" s="9"/>
    </row>
    <row r="157" spans="1:14" s="2" customFormat="1" ht="73.900000000000006" customHeight="1">
      <c r="A157" s="1295"/>
      <c r="B157" s="1296"/>
      <c r="C157" s="1296"/>
      <c r="D157" s="1296"/>
      <c r="E157" s="1296"/>
      <c r="F157" s="1297"/>
      <c r="G157" s="1298"/>
      <c r="H157" s="1296"/>
      <c r="I157" s="1296"/>
      <c r="J157" s="1296"/>
      <c r="K157" s="1297"/>
      <c r="L157" s="9"/>
      <c r="M157" s="9"/>
      <c r="N157" s="9"/>
    </row>
    <row r="158" spans="1:14" s="2" customFormat="1" ht="73.900000000000006" customHeight="1">
      <c r="A158" s="1299"/>
      <c r="B158" s="1300"/>
      <c r="C158" s="1300"/>
      <c r="D158" s="1300"/>
      <c r="E158" s="1300"/>
      <c r="F158" s="1301"/>
      <c r="G158" s="1302"/>
      <c r="H158" s="1300"/>
      <c r="I158" s="1300"/>
      <c r="J158" s="1300"/>
      <c r="K158" s="130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1" zoomScale="120" zoomScaleNormal="90" zoomScaleSheetLayoutView="40" workbookViewId="0">
      <pane ySplit="885" topLeftCell="A202" activePane="bottomLeft"/>
      <selection activeCell="D24" sqref="D24"/>
      <selection pane="bottomLeft" activeCell="A24" sqref="A24:Q24"/>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5" customHeight="1">
      <c r="A1" s="879" t="str">
        <f>CONCATENATE("PART EIGHT - THRESHOLD CRITERIA","  -  ",'Part I-Project Information'!$O$4," ",'Part I-Project Information'!$F$22,", ",'Part I-Project Information'!F24,", ",'Part I-Project Information'!J25," County")</f>
        <v>PART EIGHT - THRESHOLD CRITERIA  -  2011-015 Briarcliff Summit Apartments , Atlanta, Fulton County</v>
      </c>
      <c r="B1" s="880"/>
      <c r="C1" s="880"/>
      <c r="D1" s="880"/>
      <c r="E1" s="880"/>
      <c r="F1" s="880"/>
      <c r="G1" s="880"/>
      <c r="H1" s="880"/>
      <c r="I1" s="880"/>
      <c r="J1" s="880"/>
      <c r="K1" s="880"/>
      <c r="L1" s="880"/>
      <c r="M1" s="880"/>
      <c r="N1" s="880"/>
      <c r="O1" s="880"/>
      <c r="P1" s="880"/>
      <c r="Q1" s="880"/>
    </row>
    <row r="2" spans="1:20" s="31" customFormat="1" ht="29.25" customHeight="1">
      <c r="S2" s="45"/>
      <c r="T2" s="45"/>
    </row>
    <row r="3" spans="1:20" ht="29.25"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1529</v>
      </c>
      <c r="P3" s="1035"/>
      <c r="Q3" s="302" t="s">
        <v>2888</v>
      </c>
    </row>
    <row r="4" spans="1:20" ht="30" customHeight="1">
      <c r="A4" s="737"/>
      <c r="B4" s="1026"/>
      <c r="C4" s="1026"/>
      <c r="D4" s="1026"/>
      <c r="E4" s="737"/>
      <c r="F4" s="737"/>
      <c r="G4" s="737"/>
      <c r="H4" s="737"/>
      <c r="I4" s="737"/>
      <c r="J4" s="737"/>
      <c r="K4" s="737"/>
      <c r="L4" s="737"/>
      <c r="M4" s="737"/>
      <c r="N4" s="737"/>
      <c r="P4" s="737"/>
      <c r="Q4" s="737"/>
    </row>
    <row r="5" spans="1:20" ht="18.75" customHeight="1">
      <c r="A5" s="737"/>
      <c r="B5" s="737"/>
      <c r="C5" s="737"/>
      <c r="D5" s="737"/>
      <c r="E5" s="737"/>
      <c r="F5" s="737"/>
      <c r="G5" s="737"/>
      <c r="H5" s="737"/>
      <c r="I5" s="737"/>
      <c r="J5" s="737"/>
      <c r="K5" s="737"/>
      <c r="L5" s="737"/>
      <c r="M5" s="737"/>
      <c r="N5" s="737"/>
      <c r="P5" s="737"/>
      <c r="Q5" s="737"/>
    </row>
    <row r="6" spans="1:20" ht="15" customHeight="1">
      <c r="A6" s="173" t="s">
        <v>863</v>
      </c>
      <c r="P6" s="1027"/>
      <c r="Q6" s="1028"/>
    </row>
    <row r="7" spans="1:20" ht="12.6" customHeight="1">
      <c r="A7" s="174" t="s">
        <v>366</v>
      </c>
      <c r="C7" s="175"/>
      <c r="D7" s="175"/>
    </row>
    <row r="8" spans="1:20" ht="24.6" customHeight="1">
      <c r="A8" s="1029" t="s">
        <v>2117</v>
      </c>
      <c r="B8" s="1030"/>
      <c r="C8" s="1030"/>
      <c r="D8" s="1030"/>
      <c r="E8" s="1030"/>
      <c r="F8" s="1030"/>
      <c r="G8" s="1030"/>
      <c r="H8" s="1030"/>
      <c r="I8" s="1030"/>
      <c r="J8" s="1030"/>
      <c r="K8" s="1030"/>
      <c r="L8" s="1030"/>
      <c r="M8" s="1030"/>
      <c r="N8" s="1030"/>
      <c r="O8" s="1030"/>
      <c r="P8" s="1030"/>
      <c r="Q8" s="1031"/>
      <c r="R8" s="998" t="s">
        <v>3110</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2113</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2114</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2115</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2116</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2118</v>
      </c>
      <c r="B14" s="1000"/>
      <c r="C14" s="1000"/>
      <c r="D14" s="1000"/>
      <c r="E14" s="1000"/>
      <c r="F14" s="1000"/>
      <c r="G14" s="1000"/>
      <c r="H14" s="1000"/>
      <c r="I14" s="1000"/>
      <c r="J14" s="1000"/>
      <c r="K14" s="1000"/>
      <c r="L14" s="1000"/>
      <c r="M14" s="1000"/>
      <c r="N14" s="1000"/>
      <c r="O14" s="1000"/>
      <c r="P14" s="1000"/>
      <c r="Q14" s="1001"/>
    </row>
    <row r="15" spans="1:20" ht="24.6" customHeight="1">
      <c r="A15" s="999" t="s">
        <v>3097</v>
      </c>
      <c r="B15" s="1000"/>
      <c r="C15" s="1000"/>
      <c r="D15" s="1000"/>
      <c r="E15" s="1000"/>
      <c r="F15" s="1000"/>
      <c r="G15" s="1000"/>
      <c r="H15" s="1000"/>
      <c r="I15" s="1000"/>
      <c r="J15" s="1000"/>
      <c r="K15" s="1000"/>
      <c r="L15" s="1000"/>
      <c r="M15" s="1000"/>
      <c r="N15" s="1000"/>
      <c r="O15" s="1000"/>
      <c r="P15" s="1000"/>
      <c r="Q15" s="1001"/>
      <c r="R15" s="998" t="s">
        <v>3110</v>
      </c>
      <c r="S15" s="998"/>
    </row>
    <row r="16" spans="1:20" ht="24.6" customHeight="1">
      <c r="A16" s="999" t="s">
        <v>3098</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3099</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3100</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3101</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3102</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3103</v>
      </c>
      <c r="B21" s="1000"/>
      <c r="C21" s="1000"/>
      <c r="D21" s="1000"/>
      <c r="E21" s="1000"/>
      <c r="F21" s="1000"/>
      <c r="G21" s="1000"/>
      <c r="H21" s="1000"/>
      <c r="I21" s="1000"/>
      <c r="J21" s="1000"/>
      <c r="K21" s="1000"/>
      <c r="L21" s="1000"/>
      <c r="M21" s="1000"/>
      <c r="N21" s="1000"/>
      <c r="O21" s="1000"/>
      <c r="P21" s="1000"/>
      <c r="Q21" s="1001"/>
    </row>
    <row r="22" spans="1:19" ht="24.6" customHeight="1">
      <c r="A22" s="999" t="s">
        <v>3104</v>
      </c>
      <c r="B22" s="1000"/>
      <c r="C22" s="1000"/>
      <c r="D22" s="1000"/>
      <c r="E22" s="1000"/>
      <c r="F22" s="1000"/>
      <c r="G22" s="1000"/>
      <c r="H22" s="1000"/>
      <c r="I22" s="1000"/>
      <c r="J22" s="1000"/>
      <c r="K22" s="1000"/>
      <c r="L22" s="1000"/>
      <c r="M22" s="1000"/>
      <c r="N22" s="1000"/>
      <c r="O22" s="1000"/>
      <c r="P22" s="1000"/>
      <c r="Q22" s="1001"/>
      <c r="R22" s="998" t="s">
        <v>3110</v>
      </c>
      <c r="S22" s="998"/>
    </row>
    <row r="23" spans="1:19" ht="24.6" customHeight="1">
      <c r="A23" s="999" t="s">
        <v>3105</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3106</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3107</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3108</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3109</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2921</v>
      </c>
      <c r="P29" s="992"/>
      <c r="Q29" s="993"/>
    </row>
    <row r="30" spans="1:19" ht="3" customHeight="1"/>
    <row r="31" spans="1:19" ht="12" customHeight="1">
      <c r="B31" s="192" t="s">
        <v>3058</v>
      </c>
      <c r="C31" s="65" t="s">
        <v>1076</v>
      </c>
      <c r="E31" s="40"/>
      <c r="F31" s="40"/>
      <c r="G31" s="40"/>
      <c r="H31" s="40"/>
      <c r="I31" s="52"/>
      <c r="J31" s="42"/>
      <c r="K31" s="52"/>
      <c r="L31" s="42"/>
      <c r="M31" s="42"/>
      <c r="O31" s="83" t="s">
        <v>922</v>
      </c>
      <c r="P31" s="1166" t="s">
        <v>3925</v>
      </c>
      <c r="Q31" s="234"/>
    </row>
    <row r="32" spans="1:19" ht="12" customHeight="1">
      <c r="B32" s="57" t="s">
        <v>3061</v>
      </c>
      <c r="C32" s="65" t="s">
        <v>1077</v>
      </c>
      <c r="E32" s="40"/>
      <c r="F32" s="40"/>
      <c r="G32" s="40"/>
      <c r="H32" s="40"/>
      <c r="J32" s="1218" t="s">
        <v>3260</v>
      </c>
      <c r="K32" s="1219"/>
      <c r="L32" s="1219"/>
      <c r="M32" s="1219"/>
      <c r="N32" s="1220"/>
      <c r="O32" s="83"/>
      <c r="P32" s="83"/>
      <c r="Q32" s="83"/>
    </row>
    <row r="33" spans="1:31" ht="11.25" customHeight="1">
      <c r="B33" s="84" t="s">
        <v>2919</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8" t="s">
        <v>1931</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1931</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2083</v>
      </c>
      <c r="C45" s="5"/>
      <c r="D45" s="5"/>
      <c r="E45" s="740"/>
      <c r="F45" s="740"/>
      <c r="G45" s="740"/>
      <c r="H45" s="740"/>
      <c r="K45" s="740"/>
      <c r="L45" s="740"/>
      <c r="M45" s="740"/>
      <c r="O45" s="180" t="s">
        <v>2921</v>
      </c>
      <c r="P45" s="992"/>
      <c r="Q45" s="993"/>
    </row>
    <row r="46" spans="1:31" ht="3" customHeight="1"/>
    <row r="47" spans="1:31" ht="11.45" customHeight="1">
      <c r="A47" s="189"/>
      <c r="C47" s="190" t="s">
        <v>113</v>
      </c>
      <c r="D47" s="190"/>
      <c r="E47" s="190"/>
      <c r="F47" s="190"/>
      <c r="G47" s="190"/>
      <c r="H47" s="190"/>
      <c r="J47" s="1221" t="str">
        <f>'Part I-Project Information'!$H$65</f>
        <v>Senior (Elderly)</v>
      </c>
      <c r="K47" s="1222"/>
      <c r="L47" s="1223"/>
      <c r="M47" s="740"/>
      <c r="N47" s="740"/>
      <c r="P47" s="1166" t="s">
        <v>3926</v>
      </c>
      <c r="Q47" s="234"/>
    </row>
    <row r="48" spans="1:31" ht="11.25" customHeight="1">
      <c r="B48" s="131" t="s">
        <v>2919</v>
      </c>
      <c r="D48" s="131"/>
      <c r="E48" s="131"/>
      <c r="F48" s="131"/>
      <c r="G48" s="131"/>
      <c r="H48" s="50"/>
      <c r="I48" s="179"/>
      <c r="J48" s="179"/>
      <c r="K48" s="187" t="s">
        <v>2920</v>
      </c>
      <c r="L48" s="737"/>
      <c r="M48" s="737"/>
      <c r="N48" s="737"/>
      <c r="O48" s="737"/>
      <c r="P48" s="737"/>
      <c r="Q48" s="63"/>
    </row>
    <row r="49" spans="1:31" ht="41.25" customHeight="1">
      <c r="A49" s="1159" t="s">
        <v>4003</v>
      </c>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2921</v>
      </c>
      <c r="P51" s="992"/>
      <c r="Q51" s="993"/>
    </row>
    <row r="52" spans="1:31" ht="3" customHeight="1"/>
    <row r="53" spans="1:31" ht="12.6" customHeight="1">
      <c r="B53" s="192" t="s">
        <v>3058</v>
      </c>
      <c r="C53" s="1008" t="s">
        <v>399</v>
      </c>
      <c r="D53" s="1008"/>
      <c r="E53" s="1008"/>
      <c r="F53" s="1008"/>
      <c r="G53" s="1008"/>
      <c r="H53" s="1008"/>
      <c r="I53" s="1008"/>
      <c r="J53" s="1008"/>
      <c r="K53" s="1008"/>
      <c r="L53" s="1008"/>
      <c r="M53" s="1008"/>
      <c r="O53" s="193"/>
      <c r="P53" s="1166" t="s">
        <v>4004</v>
      </c>
      <c r="Q53" s="234"/>
    </row>
    <row r="54" spans="1:31" ht="12" customHeight="1">
      <c r="B54" s="57" t="s">
        <v>3061</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739"/>
      <c r="F55" s="739"/>
      <c r="G55" s="739"/>
      <c r="H55" s="42"/>
      <c r="I55" s="52"/>
      <c r="J55" s="52"/>
      <c r="K55" s="52"/>
      <c r="L55" s="42"/>
      <c r="M55" s="42"/>
      <c r="O55" s="83" t="s">
        <v>2763</v>
      </c>
      <c r="P55" s="1166" t="s">
        <v>3926</v>
      </c>
      <c r="Q55" s="234"/>
    </row>
    <row r="56" spans="1:31" ht="10.9" customHeight="1">
      <c r="A56" s="194"/>
      <c r="B56" s="52"/>
      <c r="C56" s="83" t="s">
        <v>2764</v>
      </c>
      <c r="D56" s="40" t="s">
        <v>2844</v>
      </c>
      <c r="E56" s="739"/>
      <c r="F56" s="739"/>
      <c r="G56" s="739"/>
      <c r="H56" s="42"/>
      <c r="I56" s="52"/>
      <c r="J56" s="52"/>
      <c r="O56" s="83" t="s">
        <v>2764</v>
      </c>
      <c r="P56" s="1166" t="s">
        <v>3926</v>
      </c>
      <c r="Q56" s="234"/>
    </row>
    <row r="57" spans="1:31" ht="10.9" customHeight="1">
      <c r="A57" s="194"/>
      <c r="B57" s="52"/>
      <c r="C57" s="83" t="s">
        <v>2765</v>
      </c>
      <c r="D57" s="40" t="s">
        <v>400</v>
      </c>
      <c r="E57" s="739"/>
      <c r="J57" s="83"/>
      <c r="K57" s="83" t="s">
        <v>2765</v>
      </c>
      <c r="L57" s="1224"/>
      <c r="M57" s="1225"/>
      <c r="N57" s="1225"/>
      <c r="O57" s="1225"/>
      <c r="P57" s="1226"/>
      <c r="Q57" s="234"/>
    </row>
    <row r="58" spans="1:31" ht="11.25" customHeight="1">
      <c r="B58" s="131" t="s">
        <v>2919</v>
      </c>
      <c r="D58" s="131"/>
      <c r="E58" s="131"/>
      <c r="F58" s="131"/>
      <c r="G58" s="131"/>
      <c r="H58" s="50"/>
      <c r="I58" s="179"/>
      <c r="J58" s="179"/>
      <c r="K58" s="179"/>
      <c r="L58" s="737"/>
      <c r="M58" s="737"/>
      <c r="N58" s="737"/>
      <c r="O58" s="737"/>
      <c r="P58" s="737"/>
      <c r="Q58" s="63"/>
    </row>
    <row r="59" spans="1:31" ht="12" customHeight="1">
      <c r="A59" s="1152" t="s">
        <v>4084</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28.5" customHeight="1">
      <c r="A60" s="1155" t="s">
        <v>4085</v>
      </c>
      <c r="B60" s="1156"/>
      <c r="C60" s="1156"/>
      <c r="D60" s="1156"/>
      <c r="E60" s="1156"/>
      <c r="F60" s="1156"/>
      <c r="G60" s="1156"/>
      <c r="H60" s="1156"/>
      <c r="I60" s="1156"/>
      <c r="J60" s="1156"/>
      <c r="K60" s="1156"/>
      <c r="L60" s="1156"/>
      <c r="M60" s="1156"/>
      <c r="N60" s="1156"/>
      <c r="O60" s="1156"/>
      <c r="P60" s="1156"/>
      <c r="Q60" s="1157"/>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3701</v>
      </c>
      <c r="C65" s="741"/>
      <c r="D65" s="740"/>
      <c r="E65" s="740"/>
      <c r="F65" s="740"/>
      <c r="G65" s="740"/>
      <c r="H65" s="740"/>
      <c r="I65" s="740"/>
      <c r="J65" s="740"/>
      <c r="K65" s="740"/>
      <c r="O65" s="180" t="s">
        <v>2921</v>
      </c>
      <c r="P65" s="992"/>
      <c r="Q65" s="993"/>
    </row>
    <row r="66" spans="1:31" ht="3" customHeight="1"/>
    <row r="67" spans="1:31" ht="12" customHeight="1">
      <c r="B67" s="57" t="s">
        <v>3058</v>
      </c>
      <c r="C67" s="195" t="s">
        <v>3728</v>
      </c>
      <c r="D67" s="182"/>
      <c r="E67" s="182"/>
      <c r="F67" s="182"/>
      <c r="G67" s="182"/>
      <c r="H67" s="182"/>
      <c r="I67" s="52"/>
      <c r="J67" s="52"/>
      <c r="K67" s="52"/>
      <c r="L67" s="62" t="s">
        <v>3058</v>
      </c>
      <c r="M67" s="1224" t="s">
        <v>4005</v>
      </c>
      <c r="N67" s="1225"/>
      <c r="O67" s="1225"/>
      <c r="P67" s="1227"/>
      <c r="Q67" s="234"/>
    </row>
    <row r="68" spans="1:31" ht="12" customHeight="1">
      <c r="B68" s="57" t="s">
        <v>3061</v>
      </c>
      <c r="C68" s="65" t="s">
        <v>3116</v>
      </c>
      <c r="D68" s="182"/>
      <c r="E68" s="182"/>
      <c r="F68" s="182"/>
      <c r="L68" s="62" t="s">
        <v>3061</v>
      </c>
      <c r="M68" s="1224" t="s">
        <v>4006</v>
      </c>
      <c r="N68" s="1225"/>
      <c r="O68" s="1225"/>
      <c r="P68" s="1227"/>
      <c r="Q68" s="234"/>
    </row>
    <row r="69" spans="1:31" ht="12" customHeight="1">
      <c r="B69" s="57" t="s">
        <v>1237</v>
      </c>
      <c r="C69" s="65" t="s">
        <v>3729</v>
      </c>
      <c r="D69" s="182"/>
      <c r="E69" s="182"/>
      <c r="F69" s="182"/>
      <c r="L69" s="62" t="s">
        <v>1237</v>
      </c>
      <c r="M69" s="1224" t="s">
        <v>4006</v>
      </c>
      <c r="N69" s="1225"/>
      <c r="O69" s="1225"/>
      <c r="P69" s="1227"/>
      <c r="Q69" s="351"/>
    </row>
    <row r="70" spans="1:31" ht="12" customHeight="1">
      <c r="B70" s="57" t="s">
        <v>3210</v>
      </c>
      <c r="C70" s="65" t="s">
        <v>3730</v>
      </c>
      <c r="D70" s="182"/>
      <c r="E70" s="182"/>
      <c r="F70" s="182"/>
      <c r="L70" s="62" t="s">
        <v>3210</v>
      </c>
      <c r="M70" s="1228">
        <v>0.26900000000000002</v>
      </c>
      <c r="N70" s="1225"/>
      <c r="O70" s="1225"/>
      <c r="P70" s="1227"/>
      <c r="Q70" s="234"/>
    </row>
    <row r="71" spans="1:31" ht="22.15" customHeight="1">
      <c r="B71" s="192" t="s">
        <v>2761</v>
      </c>
      <c r="C71" s="994" t="s">
        <v>3554</v>
      </c>
      <c r="D71" s="1039"/>
      <c r="E71" s="1039"/>
      <c r="F71" s="1039"/>
      <c r="G71" s="1039"/>
      <c r="H71" s="1039"/>
      <c r="I71" s="1039"/>
      <c r="J71" s="1039"/>
      <c r="K71" s="1039"/>
      <c r="L71" s="739"/>
      <c r="M71" s="739"/>
      <c r="O71" s="62" t="s">
        <v>2761</v>
      </c>
      <c r="P71" s="1166" t="s">
        <v>3926</v>
      </c>
      <c r="Q71" s="234"/>
    </row>
    <row r="72" spans="1:31" ht="12" customHeight="1">
      <c r="B72" s="57"/>
      <c r="C72" s="65"/>
      <c r="D72" s="709" t="s">
        <v>3591</v>
      </c>
      <c r="E72" s="40" t="s">
        <v>950</v>
      </c>
      <c r="F72" s="40"/>
      <c r="G72" s="65"/>
      <c r="H72" s="709" t="s">
        <v>3591</v>
      </c>
      <c r="I72" s="40" t="s">
        <v>950</v>
      </c>
      <c r="J72" s="40"/>
      <c r="K72" s="65"/>
      <c r="L72" s="709" t="s">
        <v>3591</v>
      </c>
      <c r="M72" s="40" t="s">
        <v>950</v>
      </c>
      <c r="N72" s="40"/>
      <c r="O72" s="65"/>
      <c r="P72" s="62"/>
      <c r="Q72" s="62"/>
    </row>
    <row r="73" spans="1:31" ht="12" customHeight="1">
      <c r="B73" s="57"/>
      <c r="C73" s="65">
        <v>1</v>
      </c>
      <c r="D73" s="1229" t="s">
        <v>4007</v>
      </c>
      <c r="E73" s="1230" t="s">
        <v>4008</v>
      </c>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2762</v>
      </c>
      <c r="C76" s="65" t="s">
        <v>1</v>
      </c>
      <c r="D76" s="182"/>
      <c r="E76" s="182"/>
      <c r="F76" s="182"/>
      <c r="G76" s="182"/>
      <c r="H76" s="182"/>
      <c r="I76" s="52"/>
      <c r="J76" s="52"/>
      <c r="K76" s="182"/>
      <c r="L76" s="739"/>
      <c r="M76" s="739"/>
      <c r="O76" s="62" t="s">
        <v>2762</v>
      </c>
      <c r="P76" s="1166"/>
      <c r="Q76" s="234"/>
    </row>
    <row r="77" spans="1:31" ht="11.25" customHeight="1">
      <c r="B77" s="191" t="s">
        <v>2919</v>
      </c>
      <c r="D77" s="191"/>
      <c r="E77" s="191"/>
      <c r="F77" s="191"/>
      <c r="G77" s="191"/>
      <c r="H77" s="50"/>
      <c r="I77" s="179"/>
      <c r="J77" s="179"/>
      <c r="K77" s="179"/>
      <c r="L77" s="737"/>
      <c r="M77" s="737"/>
      <c r="N77" s="737"/>
      <c r="O77" s="737"/>
      <c r="P77" s="737"/>
      <c r="Q77" s="63"/>
    </row>
    <row r="78" spans="1:31" ht="22.9" customHeight="1">
      <c r="A78" s="1152" t="s">
        <v>4009</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51.75" customHeight="1">
      <c r="A79" s="1155" t="s">
        <v>4086</v>
      </c>
      <c r="B79" s="1156"/>
      <c r="C79" s="1156"/>
      <c r="D79" s="1156"/>
      <c r="E79" s="1156"/>
      <c r="F79" s="1156"/>
      <c r="G79" s="1156"/>
      <c r="H79" s="1156"/>
      <c r="I79" s="1156"/>
      <c r="J79" s="1156"/>
      <c r="K79" s="1156"/>
      <c r="L79" s="1156"/>
      <c r="M79" s="1156"/>
      <c r="N79" s="1156"/>
      <c r="O79" s="1156"/>
      <c r="P79" s="1156"/>
      <c r="Q79" s="1157"/>
    </row>
    <row r="80" spans="1:31" ht="11.25" customHeight="1">
      <c r="B80" s="187" t="s">
        <v>2920</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2921</v>
      </c>
      <c r="P83" s="992"/>
      <c r="Q83" s="993"/>
    </row>
    <row r="84" spans="1:17" ht="3" customHeight="1"/>
    <row r="85" spans="1:17" ht="12" customHeight="1">
      <c r="B85" s="57" t="s">
        <v>3058</v>
      </c>
      <c r="C85" s="65" t="s">
        <v>728</v>
      </c>
      <c r="D85" s="65"/>
      <c r="E85" s="65"/>
      <c r="F85" s="65"/>
      <c r="G85" s="65"/>
      <c r="H85" s="65"/>
      <c r="I85" s="65"/>
      <c r="J85" s="65"/>
      <c r="K85" s="65"/>
      <c r="L85" s="65"/>
      <c r="M85" s="65"/>
      <c r="O85" s="62" t="s">
        <v>3058</v>
      </c>
      <c r="P85" s="1166" t="s">
        <v>3925</v>
      </c>
      <c r="Q85" s="234"/>
    </row>
    <row r="86" spans="1:17" ht="12" customHeight="1">
      <c r="B86" s="57" t="s">
        <v>3061</v>
      </c>
      <c r="C86" s="65" t="s">
        <v>2004</v>
      </c>
      <c r="D86" s="65"/>
      <c r="E86" s="65"/>
      <c r="F86" s="65"/>
      <c r="G86" s="65"/>
      <c r="H86" s="65"/>
      <c r="I86" s="65"/>
      <c r="J86" s="65"/>
      <c r="K86" s="65"/>
      <c r="L86" s="40"/>
      <c r="M86" s="40"/>
      <c r="O86" s="62" t="s">
        <v>3061</v>
      </c>
      <c r="P86" s="1166" t="s">
        <v>3925</v>
      </c>
      <c r="Q86" s="234"/>
    </row>
    <row r="87" spans="1:17" ht="12" customHeight="1">
      <c r="A87" s="181"/>
      <c r="B87" s="46"/>
      <c r="D87" s="49" t="s">
        <v>848</v>
      </c>
      <c r="E87" s="52"/>
      <c r="F87" s="52"/>
      <c r="G87" s="52"/>
      <c r="H87" s="52"/>
      <c r="I87" s="52"/>
      <c r="K87" s="49" t="s">
        <v>849</v>
      </c>
      <c r="M87" s="1232"/>
      <c r="N87" s="1233"/>
      <c r="O87" s="1233"/>
      <c r="P87" s="1234"/>
      <c r="Q87" s="234"/>
    </row>
    <row r="88" spans="1:17" ht="22.9" customHeight="1">
      <c r="A88" s="194"/>
      <c r="B88" s="179"/>
      <c r="C88" s="203" t="s">
        <v>2763</v>
      </c>
      <c r="D88" s="977" t="s">
        <v>678</v>
      </c>
      <c r="E88" s="1119"/>
      <c r="F88" s="1119"/>
      <c r="G88" s="1119"/>
      <c r="H88" s="1119"/>
      <c r="I88" s="1119"/>
      <c r="J88" s="1119"/>
      <c r="K88" s="1119"/>
      <c r="L88" s="1119"/>
      <c r="M88" s="1119"/>
      <c r="N88" s="1119"/>
      <c r="O88" s="203" t="s">
        <v>2763</v>
      </c>
      <c r="P88" s="1166"/>
      <c r="Q88" s="234"/>
    </row>
    <row r="89" spans="1:17" ht="12" customHeight="1">
      <c r="A89" s="194"/>
      <c r="B89" s="179"/>
      <c r="C89" s="83" t="s">
        <v>2764</v>
      </c>
      <c r="D89" s="65" t="s">
        <v>187</v>
      </c>
      <c r="E89" s="65"/>
      <c r="F89" s="65"/>
      <c r="G89" s="65"/>
      <c r="H89" s="65"/>
      <c r="I89" s="65"/>
      <c r="J89" s="65"/>
      <c r="K89" s="65"/>
      <c r="L89" s="65"/>
      <c r="M89" s="65"/>
      <c r="O89" s="83" t="s">
        <v>2764</v>
      </c>
      <c r="P89" s="1166"/>
      <c r="Q89" s="234"/>
    </row>
    <row r="90" spans="1:17" ht="12" customHeight="1">
      <c r="A90" s="194"/>
      <c r="B90" s="179"/>
      <c r="C90" s="83" t="s">
        <v>2765</v>
      </c>
      <c r="D90" s="65" t="s">
        <v>188</v>
      </c>
      <c r="E90" s="65"/>
      <c r="F90" s="65"/>
      <c r="G90" s="65"/>
      <c r="H90" s="65"/>
      <c r="I90" s="65"/>
      <c r="J90" s="65"/>
      <c r="K90" s="65"/>
      <c r="L90" s="65"/>
      <c r="M90" s="65"/>
      <c r="O90" s="83" t="s">
        <v>2765</v>
      </c>
      <c r="P90" s="1166"/>
      <c r="Q90" s="234"/>
    </row>
    <row r="91" spans="1:17" ht="12" customHeight="1">
      <c r="B91" s="57" t="s">
        <v>1237</v>
      </c>
      <c r="C91" s="65" t="s">
        <v>191</v>
      </c>
      <c r="D91" s="65"/>
      <c r="E91" s="65"/>
      <c r="F91" s="65"/>
      <c r="G91" s="65"/>
      <c r="H91" s="65"/>
      <c r="I91" s="65"/>
      <c r="J91" s="65"/>
      <c r="K91" s="65"/>
      <c r="L91" s="65"/>
      <c r="M91" s="65"/>
      <c r="O91" s="62" t="s">
        <v>1237</v>
      </c>
      <c r="P91" s="1166"/>
      <c r="Q91" s="234"/>
    </row>
    <row r="92" spans="1:17" ht="12" customHeight="1">
      <c r="B92" s="57" t="s">
        <v>3210</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1166"/>
      <c r="Q93" s="234"/>
    </row>
    <row r="94" spans="1:17" ht="12" customHeight="1">
      <c r="B94" s="57"/>
      <c r="C94" s="83" t="s">
        <v>2764</v>
      </c>
      <c r="D94" s="65" t="s">
        <v>2149</v>
      </c>
      <c r="E94" s="65"/>
      <c r="F94" s="65"/>
      <c r="G94" s="65"/>
      <c r="H94" s="65"/>
      <c r="I94" s="65"/>
      <c r="J94" s="65"/>
      <c r="K94" s="65"/>
      <c r="L94" s="40"/>
      <c r="M94" s="40"/>
      <c r="O94" s="83" t="s">
        <v>2764</v>
      </c>
      <c r="P94" s="1166"/>
      <c r="Q94" s="234"/>
    </row>
    <row r="95" spans="1:17" ht="12" customHeight="1">
      <c r="B95" s="57"/>
      <c r="C95" s="83" t="s">
        <v>2765</v>
      </c>
      <c r="D95" s="65" t="s">
        <v>2150</v>
      </c>
      <c r="E95" s="65"/>
      <c r="F95" s="65"/>
      <c r="G95" s="65"/>
      <c r="H95" s="65"/>
      <c r="I95" s="65"/>
      <c r="J95" s="65"/>
      <c r="K95" s="65"/>
      <c r="L95" s="40"/>
      <c r="M95" s="40"/>
      <c r="O95" s="83" t="s">
        <v>2765</v>
      </c>
      <c r="P95" s="1166"/>
      <c r="Q95" s="234"/>
    </row>
    <row r="96" spans="1:17" ht="11.25" customHeight="1">
      <c r="B96" s="191" t="s">
        <v>2919</v>
      </c>
      <c r="D96" s="191"/>
      <c r="E96" s="191"/>
      <c r="F96" s="191"/>
      <c r="G96" s="191"/>
      <c r="H96" s="50"/>
      <c r="I96" s="179"/>
      <c r="J96" s="179"/>
      <c r="K96" s="179"/>
      <c r="L96" s="737"/>
      <c r="M96" s="737"/>
      <c r="N96" s="737"/>
      <c r="O96" s="737"/>
      <c r="P96" s="737"/>
      <c r="Q96" s="63"/>
    </row>
    <row r="97" spans="1:31" ht="13.15" customHeight="1">
      <c r="A97" s="1152" t="s">
        <v>4010</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2920</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2921</v>
      </c>
      <c r="P103" s="992"/>
      <c r="Q103" s="993"/>
    </row>
    <row r="104" spans="1:31" ht="6.6" customHeight="1"/>
    <row r="105" spans="1:31" ht="12" customHeight="1">
      <c r="B105" s="57" t="s">
        <v>3058</v>
      </c>
      <c r="C105" s="65" t="s">
        <v>202</v>
      </c>
      <c r="D105" s="182"/>
      <c r="E105" s="182"/>
      <c r="F105" s="182"/>
      <c r="G105" s="182"/>
      <c r="H105" s="182"/>
      <c r="I105" s="52"/>
      <c r="J105" s="52"/>
      <c r="K105" s="52"/>
      <c r="L105" s="62" t="s">
        <v>3058</v>
      </c>
      <c r="M105" s="1224" t="s">
        <v>4011</v>
      </c>
      <c r="N105" s="1225"/>
      <c r="O105" s="1225"/>
      <c r="P105" s="1226"/>
      <c r="Q105" s="234"/>
    </row>
    <row r="106" spans="1:31" ht="12" customHeight="1">
      <c r="B106" s="57" t="s">
        <v>3061</v>
      </c>
      <c r="C106" s="65" t="s">
        <v>2290</v>
      </c>
      <c r="D106" s="182"/>
      <c r="E106" s="182"/>
      <c r="F106" s="182"/>
      <c r="G106" s="182"/>
      <c r="H106" s="182"/>
      <c r="I106" s="52"/>
      <c r="J106" s="52"/>
      <c r="K106" s="182"/>
      <c r="L106" s="182"/>
      <c r="M106" s="739"/>
      <c r="O106" s="62" t="s">
        <v>3061</v>
      </c>
      <c r="P106" s="1166" t="s">
        <v>3925</v>
      </c>
      <c r="Q106" s="351"/>
    </row>
    <row r="107" spans="1:31" ht="12" customHeight="1">
      <c r="B107" s="57" t="s">
        <v>1237</v>
      </c>
      <c r="C107" s="65" t="s">
        <v>205</v>
      </c>
      <c r="D107" s="182"/>
      <c r="E107" s="182"/>
      <c r="F107" s="182"/>
      <c r="G107" s="182"/>
      <c r="H107" s="182"/>
      <c r="I107" s="52"/>
      <c r="J107" s="52"/>
      <c r="K107" s="182"/>
      <c r="L107" s="739"/>
      <c r="M107" s="739"/>
      <c r="O107" s="62" t="s">
        <v>1237</v>
      </c>
      <c r="P107" s="1166" t="s">
        <v>3926</v>
      </c>
      <c r="Q107" s="234"/>
    </row>
    <row r="108" spans="1:31" ht="12" customHeight="1">
      <c r="B108" s="189"/>
      <c r="C108" s="65" t="s">
        <v>2841</v>
      </c>
      <c r="D108" s="52"/>
      <c r="E108" s="52"/>
      <c r="F108" s="52"/>
      <c r="G108" s="52"/>
      <c r="H108" s="65"/>
      <c r="I108" s="52"/>
      <c r="J108" s="52"/>
      <c r="K108" s="182"/>
      <c r="L108" s="739"/>
      <c r="M108" s="739"/>
      <c r="P108" s="1235">
        <v>72</v>
      </c>
      <c r="Q108" s="351"/>
    </row>
    <row r="109" spans="1:31" ht="12" customHeight="1">
      <c r="B109" s="189"/>
      <c r="C109" s="65" t="s">
        <v>2088</v>
      </c>
      <c r="D109" s="52"/>
      <c r="E109" s="52"/>
      <c r="F109" s="52"/>
      <c r="G109" s="52"/>
      <c r="H109" s="65"/>
      <c r="I109" s="52"/>
      <c r="J109" s="52"/>
      <c r="K109" s="182"/>
      <c r="L109" s="739"/>
      <c r="M109" s="739"/>
      <c r="N109" s="739"/>
      <c r="O109" s="739"/>
    </row>
    <row r="110" spans="1:31" ht="32.25" customHeight="1">
      <c r="B110" s="737"/>
      <c r="C110" s="1236" t="s">
        <v>4012</v>
      </c>
      <c r="D110" s="1237"/>
      <c r="E110" s="1237"/>
      <c r="F110" s="1237"/>
      <c r="G110" s="1237"/>
      <c r="H110" s="1237"/>
      <c r="I110" s="1237"/>
      <c r="J110" s="1237"/>
      <c r="K110" s="1237"/>
      <c r="L110" s="1237"/>
      <c r="M110" s="1237"/>
      <c r="N110" s="1237"/>
      <c r="O110" s="1238"/>
      <c r="P110" s="740"/>
      <c r="Q110" s="737"/>
    </row>
    <row r="111" spans="1:31" ht="12" customHeight="1">
      <c r="B111" s="57" t="s">
        <v>3210</v>
      </c>
      <c r="C111" s="65" t="s">
        <v>1943</v>
      </c>
      <c r="D111" s="182"/>
      <c r="E111" s="182"/>
      <c r="F111" s="182"/>
      <c r="G111" s="182"/>
      <c r="H111" s="182"/>
      <c r="I111" s="52"/>
      <c r="J111" s="52"/>
      <c r="K111" s="182"/>
      <c r="L111" s="739"/>
      <c r="M111" s="739"/>
      <c r="N111" s="739"/>
      <c r="O111" s="62" t="s">
        <v>3210</v>
      </c>
    </row>
    <row r="112" spans="1:31" ht="12" customHeight="1">
      <c r="B112" s="57"/>
      <c r="C112" s="83" t="s">
        <v>2763</v>
      </c>
      <c r="D112" s="65" t="s">
        <v>203</v>
      </c>
      <c r="E112" s="182"/>
      <c r="F112" s="182"/>
      <c r="G112" s="182"/>
      <c r="H112" s="182"/>
      <c r="I112" s="52"/>
      <c r="J112" s="52"/>
      <c r="K112" s="182"/>
      <c r="L112" s="739"/>
      <c r="M112" s="739"/>
      <c r="O112" s="83" t="s">
        <v>2763</v>
      </c>
      <c r="P112" s="1166" t="s">
        <v>3925</v>
      </c>
      <c r="Q112" s="234"/>
    </row>
    <row r="113" spans="1:17" ht="12" customHeight="1">
      <c r="B113" s="57"/>
      <c r="C113" s="83" t="s">
        <v>2764</v>
      </c>
      <c r="D113" s="65" t="s">
        <v>1944</v>
      </c>
      <c r="E113" s="182"/>
      <c r="F113" s="182"/>
      <c r="G113" s="182"/>
      <c r="H113" s="52"/>
      <c r="I113" s="52"/>
      <c r="J113" s="52"/>
      <c r="K113" s="182"/>
      <c r="L113" s="739"/>
      <c r="M113" s="739"/>
      <c r="O113" s="83" t="s">
        <v>2764</v>
      </c>
      <c r="P113" s="1235" t="s">
        <v>3925</v>
      </c>
      <c r="Q113" s="351"/>
    </row>
    <row r="114" spans="1:17" ht="12" customHeight="1">
      <c r="B114" s="57"/>
      <c r="C114" s="83"/>
      <c r="D114" s="65" t="s">
        <v>2968</v>
      </c>
      <c r="E114" s="52"/>
      <c r="F114" s="52"/>
      <c r="G114" s="52"/>
      <c r="H114" s="65"/>
      <c r="I114" s="52"/>
      <c r="J114" s="52"/>
      <c r="K114" s="182"/>
      <c r="L114" s="739"/>
      <c r="M114" s="739"/>
      <c r="O114" s="739"/>
      <c r="P114" s="1239"/>
      <c r="Q114" s="457"/>
    </row>
    <row r="115" spans="1:17" ht="12" customHeight="1">
      <c r="B115" s="57"/>
      <c r="C115" s="83"/>
      <c r="D115" s="65" t="s">
        <v>3661</v>
      </c>
      <c r="E115" s="52"/>
      <c r="F115" s="52"/>
      <c r="G115" s="52"/>
      <c r="H115" s="65"/>
      <c r="I115" s="52"/>
      <c r="J115" s="52"/>
      <c r="K115" s="182"/>
      <c r="L115" s="739"/>
      <c r="M115" s="739"/>
      <c r="O115" s="739"/>
      <c r="P115" s="1235"/>
      <c r="Q115" s="351"/>
    </row>
    <row r="116" spans="1:17" ht="12" customHeight="1">
      <c r="B116" s="57"/>
      <c r="C116" s="83"/>
      <c r="D116" s="65" t="s">
        <v>3242</v>
      </c>
      <c r="E116" s="52"/>
      <c r="F116" s="52"/>
      <c r="G116" s="52"/>
      <c r="H116" s="65"/>
      <c r="I116" s="52"/>
      <c r="J116" s="52"/>
      <c r="K116" s="182"/>
      <c r="L116" s="739"/>
      <c r="M116" s="739"/>
      <c r="O116" s="739"/>
      <c r="P116" s="1235"/>
      <c r="Q116" s="351"/>
    </row>
    <row r="117" spans="1:17" ht="12" customHeight="1">
      <c r="B117" s="57"/>
      <c r="C117" s="83" t="s">
        <v>2765</v>
      </c>
      <c r="D117" s="65" t="s">
        <v>1945</v>
      </c>
      <c r="E117" s="182"/>
      <c r="F117" s="182"/>
      <c r="G117" s="182"/>
      <c r="H117" s="65"/>
      <c r="I117" s="52"/>
      <c r="J117" s="52"/>
      <c r="K117" s="182"/>
      <c r="L117" s="739"/>
      <c r="M117" s="739"/>
      <c r="O117" s="83" t="s">
        <v>2765</v>
      </c>
      <c r="P117" s="1166" t="s">
        <v>3925</v>
      </c>
      <c r="Q117" s="234"/>
    </row>
    <row r="118" spans="1:17" ht="12" customHeight="1">
      <c r="B118" s="57"/>
      <c r="C118" s="83"/>
      <c r="D118" s="65" t="s">
        <v>1406</v>
      </c>
      <c r="E118" s="52"/>
      <c r="F118" s="52"/>
      <c r="G118" s="52"/>
      <c r="H118" s="65"/>
      <c r="I118" s="52"/>
      <c r="J118" s="52"/>
      <c r="K118" s="182"/>
      <c r="L118" s="739"/>
      <c r="M118" s="739"/>
      <c r="O118" s="739"/>
      <c r="P118" s="1240"/>
      <c r="Q118" s="352"/>
    </row>
    <row r="119" spans="1:17" ht="12" customHeight="1">
      <c r="B119" s="57"/>
      <c r="C119" s="83"/>
      <c r="D119" s="65" t="s">
        <v>3243</v>
      </c>
      <c r="E119" s="52"/>
      <c r="F119" s="52"/>
      <c r="G119" s="52"/>
      <c r="H119" s="65"/>
      <c r="I119" s="52"/>
      <c r="J119" s="52"/>
      <c r="K119" s="182"/>
      <c r="L119" s="739"/>
      <c r="M119" s="739"/>
      <c r="O119" s="739"/>
      <c r="P119" s="1235"/>
      <c r="Q119" s="351"/>
    </row>
    <row r="120" spans="1:17" ht="12" customHeight="1">
      <c r="B120" s="57"/>
      <c r="C120" s="83"/>
      <c r="D120" s="65" t="s">
        <v>3242</v>
      </c>
      <c r="E120" s="52"/>
      <c r="F120" s="52"/>
      <c r="G120" s="52"/>
      <c r="H120" s="65"/>
      <c r="I120" s="52"/>
      <c r="J120" s="52"/>
      <c r="K120" s="182"/>
      <c r="L120" s="739"/>
      <c r="M120" s="739"/>
      <c r="O120" s="739"/>
      <c r="P120" s="1235"/>
      <c r="Q120" s="351"/>
    </row>
    <row r="121" spans="1:17" ht="12" customHeight="1">
      <c r="B121" s="46"/>
      <c r="C121" s="83" t="s">
        <v>3569</v>
      </c>
      <c r="D121" s="65" t="s">
        <v>725</v>
      </c>
      <c r="E121" s="182"/>
      <c r="F121" s="182"/>
      <c r="G121" s="182"/>
      <c r="H121" s="182"/>
      <c r="I121" s="52"/>
      <c r="J121" s="52"/>
      <c r="K121" s="182"/>
      <c r="L121" s="739"/>
      <c r="M121" s="739"/>
      <c r="O121" s="83" t="s">
        <v>3569</v>
      </c>
      <c r="P121" s="1166" t="s">
        <v>3925</v>
      </c>
      <c r="Q121" s="234"/>
    </row>
    <row r="122" spans="1:17" ht="12" customHeight="1">
      <c r="B122" s="57" t="s">
        <v>2761</v>
      </c>
      <c r="C122" s="196" t="s">
        <v>3656</v>
      </c>
      <c r="D122" s="182"/>
      <c r="E122" s="182"/>
      <c r="F122" s="182"/>
      <c r="G122" s="182"/>
      <c r="H122" s="182"/>
      <c r="I122" s="52"/>
      <c r="J122" s="52"/>
      <c r="K122" s="182"/>
      <c r="L122" s="739"/>
      <c r="M122" s="739"/>
      <c r="N122" s="739"/>
      <c r="O122" s="62" t="s">
        <v>2761</v>
      </c>
      <c r="P122" s="1166"/>
      <c r="Q122" s="234"/>
    </row>
    <row r="123" spans="1:17" ht="12" customHeight="1">
      <c r="B123" s="57"/>
      <c r="C123" s="83" t="s">
        <v>2763</v>
      </c>
      <c r="D123" s="65" t="s">
        <v>3657</v>
      </c>
      <c r="E123" s="182"/>
      <c r="F123" s="1166" t="s">
        <v>3926</v>
      </c>
      <c r="G123" s="234"/>
      <c r="H123" s="83" t="s">
        <v>2765</v>
      </c>
      <c r="I123" s="65" t="s">
        <v>2304</v>
      </c>
      <c r="J123" s="1166" t="s">
        <v>3925</v>
      </c>
      <c r="K123" s="234"/>
      <c r="L123" s="83" t="s">
        <v>2302</v>
      </c>
      <c r="M123" s="65" t="s">
        <v>3619</v>
      </c>
      <c r="N123" s="1166" t="s">
        <v>3925</v>
      </c>
      <c r="O123" s="234"/>
    </row>
    <row r="124" spans="1:17" ht="12" customHeight="1">
      <c r="B124" s="46"/>
      <c r="C124" s="83" t="s">
        <v>2764</v>
      </c>
      <c r="D124" s="65" t="s">
        <v>3773</v>
      </c>
      <c r="E124" s="182"/>
      <c r="F124" s="1166" t="s">
        <v>3926</v>
      </c>
      <c r="G124" s="234"/>
      <c r="H124" s="83" t="s">
        <v>3569</v>
      </c>
      <c r="I124" s="65" t="s">
        <v>2305</v>
      </c>
      <c r="J124" s="1166" t="s">
        <v>3925</v>
      </c>
      <c r="K124" s="234"/>
      <c r="L124" s="83" t="s">
        <v>2303</v>
      </c>
      <c r="M124" s="65" t="s">
        <v>2306</v>
      </c>
      <c r="N124" s="1166" t="s">
        <v>3925</v>
      </c>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2762</v>
      </c>
      <c r="C126" s="65" t="s">
        <v>1982</v>
      </c>
      <c r="D126" s="182"/>
      <c r="E126" s="182"/>
      <c r="F126" s="182"/>
      <c r="G126" s="182"/>
      <c r="H126" s="182"/>
      <c r="I126" s="52"/>
      <c r="J126" s="52"/>
      <c r="K126" s="182"/>
      <c r="L126" s="182"/>
      <c r="M126" s="739"/>
      <c r="O126" s="62" t="s">
        <v>2762</v>
      </c>
      <c r="P126" s="1166" t="s">
        <v>3925</v>
      </c>
      <c r="Q126" s="234"/>
    </row>
    <row r="127" spans="1:17" ht="12" customHeight="1">
      <c r="A127" s="194"/>
      <c r="B127" s="52"/>
      <c r="C127" s="83" t="s">
        <v>2763</v>
      </c>
      <c r="D127" s="65" t="s">
        <v>1078</v>
      </c>
      <c r="E127" s="182"/>
      <c r="F127" s="182"/>
      <c r="G127" s="182"/>
      <c r="H127" s="182"/>
      <c r="O127" s="83" t="s">
        <v>2763</v>
      </c>
      <c r="P127" s="1166" t="s">
        <v>3925</v>
      </c>
      <c r="Q127" s="234"/>
    </row>
    <row r="128" spans="1:17" ht="12" customHeight="1">
      <c r="A128" s="194"/>
      <c r="B128" s="179"/>
      <c r="C128" s="83" t="s">
        <v>2764</v>
      </c>
      <c r="D128" s="65" t="s">
        <v>724</v>
      </c>
      <c r="E128" s="65"/>
      <c r="F128" s="65"/>
      <c r="G128" s="65"/>
      <c r="H128" s="65"/>
      <c r="I128" s="52"/>
      <c r="J128" s="52"/>
      <c r="K128" s="65"/>
      <c r="L128" s="65"/>
      <c r="M128" s="65"/>
      <c r="O128" s="83" t="s">
        <v>2764</v>
      </c>
      <c r="P128" s="1166" t="s">
        <v>3926</v>
      </c>
      <c r="Q128" s="234"/>
    </row>
    <row r="129" spans="1:31" ht="12" customHeight="1">
      <c r="A129" s="194"/>
      <c r="B129" s="179"/>
      <c r="C129" s="83" t="s">
        <v>2765</v>
      </c>
      <c r="D129" s="65" t="s">
        <v>1030</v>
      </c>
      <c r="E129" s="65"/>
      <c r="F129" s="65"/>
      <c r="G129" s="65"/>
      <c r="H129" s="65"/>
      <c r="I129" s="52"/>
      <c r="J129" s="52"/>
      <c r="K129" s="65"/>
      <c r="L129" s="65"/>
      <c r="M129" s="65"/>
      <c r="O129" s="83" t="s">
        <v>2765</v>
      </c>
      <c r="P129" s="1166" t="s">
        <v>3926</v>
      </c>
      <c r="Q129" s="234"/>
    </row>
    <row r="130" spans="1:31" ht="12" customHeight="1">
      <c r="B130" s="57" t="s">
        <v>3018</v>
      </c>
      <c r="C130" s="65" t="s">
        <v>2780</v>
      </c>
      <c r="D130" s="182"/>
      <c r="E130" s="182"/>
      <c r="F130" s="182"/>
      <c r="G130" s="182"/>
      <c r="H130" s="182"/>
      <c r="I130" s="52"/>
      <c r="J130" s="52"/>
      <c r="K130" s="182"/>
      <c r="L130" s="182"/>
      <c r="M130" s="739"/>
      <c r="O130" s="62" t="s">
        <v>3018</v>
      </c>
      <c r="P130" s="1166"/>
      <c r="Q130" s="234"/>
    </row>
    <row r="131" spans="1:31" ht="4.9000000000000004" customHeight="1"/>
    <row r="132" spans="1:31" ht="11.25" customHeight="1">
      <c r="B132" s="191" t="s">
        <v>2919</v>
      </c>
      <c r="D132" s="191"/>
      <c r="E132" s="191"/>
      <c r="F132" s="191"/>
      <c r="G132" s="191"/>
      <c r="H132" s="50"/>
      <c r="I132" s="179"/>
      <c r="J132" s="179"/>
      <c r="K132" s="179"/>
      <c r="L132" s="737"/>
      <c r="M132" s="737"/>
      <c r="N132" s="737"/>
      <c r="O132" s="737"/>
      <c r="P132" s="737"/>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998" t="s">
        <v>1931</v>
      </c>
      <c r="S133" s="998"/>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998"/>
      <c r="S134" s="998"/>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1931</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1599</v>
      </c>
      <c r="C141" s="741"/>
      <c r="D141" s="740"/>
      <c r="E141" s="740"/>
      <c r="F141" s="740"/>
      <c r="G141" s="740"/>
      <c r="H141" s="740"/>
      <c r="I141" s="740"/>
      <c r="J141" s="740"/>
      <c r="K141" s="740"/>
      <c r="O141" s="180" t="s">
        <v>2921</v>
      </c>
      <c r="P141" s="992"/>
      <c r="Q141" s="993"/>
    </row>
    <row r="142" spans="1:31" ht="10.9" customHeight="1">
      <c r="B142" s="57" t="s">
        <v>3058</v>
      </c>
      <c r="C142" s="65" t="s">
        <v>3118</v>
      </c>
      <c r="D142" s="65"/>
      <c r="E142" s="65"/>
      <c r="F142" s="65"/>
      <c r="G142" s="65"/>
      <c r="H142" s="65"/>
      <c r="N142" s="65"/>
      <c r="O142" s="62" t="s">
        <v>3058</v>
      </c>
      <c r="P142" s="1166" t="s">
        <v>3926</v>
      </c>
      <c r="Q142" s="234"/>
    </row>
    <row r="143" spans="1:31" ht="12" customHeight="1">
      <c r="A143" s="189"/>
      <c r="B143" s="57" t="s">
        <v>3061</v>
      </c>
      <c r="C143" s="190" t="s">
        <v>204</v>
      </c>
      <c r="D143" s="190"/>
      <c r="E143" s="190"/>
      <c r="F143" s="190"/>
      <c r="G143" s="190"/>
      <c r="H143" s="190"/>
      <c r="M143" s="62" t="s">
        <v>3061</v>
      </c>
      <c r="N143" s="1241" t="s">
        <v>4013</v>
      </c>
      <c r="O143" s="1242"/>
      <c r="P143" s="1017"/>
      <c r="Q143" s="1018"/>
    </row>
    <row r="144" spans="1:31" ht="12" customHeight="1">
      <c r="A144" s="189"/>
      <c r="B144" s="57" t="s">
        <v>1237</v>
      </c>
      <c r="C144" s="190" t="s">
        <v>1031</v>
      </c>
      <c r="D144" s="190"/>
      <c r="E144" s="190"/>
      <c r="F144" s="190"/>
      <c r="G144" s="190"/>
      <c r="H144" s="190"/>
      <c r="J144" s="62" t="s">
        <v>1237</v>
      </c>
      <c r="K144" s="1243" t="s">
        <v>3949</v>
      </c>
      <c r="L144" s="1244"/>
      <c r="M144" s="1244"/>
      <c r="N144" s="1244"/>
      <c r="O144" s="1245"/>
      <c r="P144" s="1166" t="s">
        <v>3926</v>
      </c>
      <c r="Q144" s="234"/>
    </row>
    <row r="145" spans="1:31" ht="12" customHeight="1">
      <c r="B145" s="191" t="s">
        <v>2919</v>
      </c>
      <c r="D145" s="191"/>
      <c r="E145" s="191"/>
      <c r="F145" s="191"/>
      <c r="G145" s="191"/>
      <c r="H145" s="50"/>
      <c r="I145" s="179"/>
      <c r="J145" s="179"/>
      <c r="K145" s="179"/>
      <c r="L145" s="737"/>
      <c r="M145" s="737"/>
      <c r="N145" s="737"/>
      <c r="O145" s="737"/>
      <c r="P145" s="737"/>
      <c r="Q145" s="63"/>
    </row>
    <row r="146" spans="1:31" ht="11.45" customHeight="1">
      <c r="A146" s="1152" t="s">
        <v>4087</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t="s">
        <v>4014</v>
      </c>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2921</v>
      </c>
      <c r="P152" s="992"/>
      <c r="Q152" s="993"/>
    </row>
    <row r="153" spans="1:31" ht="12" customHeight="1">
      <c r="B153" s="192" t="s">
        <v>3058</v>
      </c>
      <c r="C153" s="190" t="s">
        <v>109</v>
      </c>
      <c r="D153" s="190"/>
      <c r="E153" s="190"/>
      <c r="F153" s="190"/>
      <c r="G153" s="190"/>
      <c r="H153" s="190"/>
      <c r="I153" s="190"/>
      <c r="J153" s="190"/>
      <c r="K153" s="190"/>
      <c r="L153" s="197"/>
      <c r="M153" s="197"/>
      <c r="N153" s="197"/>
      <c r="O153" s="221" t="s">
        <v>3058</v>
      </c>
      <c r="P153" s="1166" t="s">
        <v>3926</v>
      </c>
      <c r="Q153" s="234"/>
    </row>
    <row r="154" spans="1:31" ht="22.15" customHeight="1">
      <c r="B154" s="192" t="s">
        <v>3061</v>
      </c>
      <c r="C154" s="994" t="s">
        <v>3789</v>
      </c>
      <c r="D154" s="994"/>
      <c r="E154" s="994"/>
      <c r="F154" s="994"/>
      <c r="G154" s="994"/>
      <c r="H154" s="994"/>
      <c r="I154" s="994"/>
      <c r="J154" s="994"/>
      <c r="K154" s="994"/>
      <c r="L154" s="994"/>
      <c r="M154" s="994"/>
      <c r="N154" s="994"/>
      <c r="O154" s="221" t="s">
        <v>3061</v>
      </c>
      <c r="P154" s="1166"/>
      <c r="Q154" s="234"/>
    </row>
    <row r="155" spans="1:31" ht="12" customHeight="1">
      <c r="B155" s="191" t="s">
        <v>2919</v>
      </c>
      <c r="D155" s="191"/>
      <c r="E155" s="191"/>
      <c r="F155" s="191"/>
      <c r="G155" s="191"/>
      <c r="H155" s="50"/>
      <c r="I155" s="179"/>
      <c r="J155" s="179"/>
      <c r="K155" s="179"/>
      <c r="L155" s="737"/>
      <c r="M155" s="737"/>
      <c r="N155" s="737"/>
      <c r="O155" s="737"/>
      <c r="P155" s="737"/>
      <c r="Q155" s="63"/>
    </row>
    <row r="156" spans="1:31" ht="11.45" customHeight="1">
      <c r="A156" s="1152" t="s">
        <v>4015</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2921</v>
      </c>
      <c r="P162" s="992"/>
      <c r="Q162" s="993"/>
    </row>
    <row r="163" spans="1:31" ht="12" customHeight="1">
      <c r="B163" s="192" t="s">
        <v>3058</v>
      </c>
      <c r="C163" s="197" t="s">
        <v>696</v>
      </c>
      <c r="D163" s="197"/>
      <c r="E163" s="197"/>
      <c r="F163" s="197"/>
      <c r="G163" s="197"/>
      <c r="H163" s="197"/>
      <c r="I163" s="197"/>
      <c r="J163" s="197"/>
      <c r="K163" s="197"/>
      <c r="L163" s="197"/>
      <c r="M163" s="197"/>
      <c r="O163" s="221" t="s">
        <v>3058</v>
      </c>
      <c r="P163" s="1166" t="s">
        <v>3926</v>
      </c>
      <c r="Q163" s="234"/>
    </row>
    <row r="164" spans="1:31" ht="12" customHeight="1">
      <c r="B164" s="192" t="s">
        <v>3061</v>
      </c>
      <c r="C164" s="190" t="s">
        <v>720</v>
      </c>
      <c r="D164" s="190"/>
      <c r="E164" s="190"/>
      <c r="F164" s="190"/>
      <c r="G164" s="190"/>
      <c r="H164" s="190"/>
      <c r="I164" s="190"/>
      <c r="J164" s="190"/>
      <c r="K164" s="190"/>
      <c r="L164" s="190"/>
      <c r="M164" s="190"/>
      <c r="O164" s="221" t="s">
        <v>3061</v>
      </c>
      <c r="P164" s="1166" t="s">
        <v>3926</v>
      </c>
      <c r="Q164" s="234"/>
    </row>
    <row r="165" spans="1:31" ht="12" customHeight="1">
      <c r="B165" s="192" t="s">
        <v>1237</v>
      </c>
      <c r="C165" s="197" t="s">
        <v>927</v>
      </c>
      <c r="D165" s="197"/>
      <c r="E165" s="197"/>
      <c r="F165" s="197"/>
      <c r="G165" s="197"/>
      <c r="H165" s="197"/>
      <c r="I165" s="197"/>
      <c r="J165" s="197"/>
      <c r="K165" s="197"/>
      <c r="L165" s="197"/>
      <c r="M165" s="197"/>
      <c r="O165" s="221" t="s">
        <v>1237</v>
      </c>
      <c r="P165" s="1166" t="s">
        <v>3926</v>
      </c>
      <c r="Q165" s="234"/>
    </row>
    <row r="166" spans="1:31" ht="12" customHeight="1">
      <c r="B166" s="192" t="s">
        <v>3210</v>
      </c>
      <c r="C166" s="197" t="s">
        <v>928</v>
      </c>
      <c r="D166" s="197"/>
      <c r="E166" s="197"/>
      <c r="F166" s="197"/>
      <c r="G166" s="197"/>
      <c r="H166" s="197"/>
      <c r="I166" s="197"/>
      <c r="J166" s="197"/>
      <c r="K166" s="197"/>
      <c r="L166" s="197"/>
      <c r="M166" s="197"/>
      <c r="O166" s="221" t="s">
        <v>3210</v>
      </c>
      <c r="P166" s="1166" t="s">
        <v>3926</v>
      </c>
      <c r="Q166" s="234"/>
    </row>
    <row r="167" spans="1:31" ht="12" customHeight="1">
      <c r="B167" s="192" t="s">
        <v>2761</v>
      </c>
      <c r="C167" s="197" t="s">
        <v>3592</v>
      </c>
      <c r="D167" s="197"/>
      <c r="E167" s="197"/>
      <c r="F167" s="197"/>
      <c r="G167" s="197"/>
      <c r="H167" s="197"/>
      <c r="I167" s="197"/>
      <c r="J167" s="197"/>
      <c r="K167" s="197"/>
      <c r="L167" s="197"/>
      <c r="M167" s="197"/>
      <c r="O167" s="221" t="s">
        <v>2761</v>
      </c>
      <c r="P167" s="1166" t="s">
        <v>3926</v>
      </c>
      <c r="Q167" s="234"/>
    </row>
    <row r="168" spans="1:31" ht="12" customHeight="1">
      <c r="B168" s="191" t="s">
        <v>2919</v>
      </c>
      <c r="D168" s="191"/>
      <c r="E168" s="191"/>
      <c r="F168" s="191"/>
      <c r="G168" s="191"/>
      <c r="H168" s="50"/>
      <c r="I168" s="179"/>
      <c r="J168" s="179"/>
      <c r="K168" s="179"/>
      <c r="L168" s="737"/>
      <c r="M168" s="737"/>
      <c r="N168" s="737"/>
      <c r="O168" s="737"/>
      <c r="P168" s="737"/>
      <c r="Q168" s="63"/>
    </row>
    <row r="169" spans="1:31" ht="11.45" customHeight="1">
      <c r="A169" s="1152" t="s">
        <v>4088</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68.25" customHeight="1">
      <c r="A170" s="1155" t="s">
        <v>4089</v>
      </c>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2921</v>
      </c>
      <c r="P175" s="992"/>
      <c r="Q175" s="993"/>
    </row>
    <row r="176" spans="1:31" ht="12" customHeight="1">
      <c r="A176" s="189"/>
      <c r="B176" s="57" t="s">
        <v>3058</v>
      </c>
      <c r="C176" s="994" t="s">
        <v>110</v>
      </c>
      <c r="D176" s="994"/>
      <c r="E176" s="994"/>
      <c r="F176" s="994"/>
      <c r="G176" s="994"/>
      <c r="H176" s="83" t="s">
        <v>2763</v>
      </c>
      <c r="I176" s="65" t="s">
        <v>206</v>
      </c>
      <c r="J176" s="1224" t="s">
        <v>4017</v>
      </c>
      <c r="K176" s="1225"/>
      <c r="L176" s="1225"/>
      <c r="M176" s="1225"/>
      <c r="N176" s="1226"/>
      <c r="O176" s="83" t="s">
        <v>2763</v>
      </c>
      <c r="P176" s="1166" t="s">
        <v>3926</v>
      </c>
      <c r="Q176" s="234"/>
    </row>
    <row r="177" spans="1:31" ht="12" customHeight="1">
      <c r="A177" s="189"/>
      <c r="B177" s="179"/>
      <c r="C177" s="141"/>
      <c r="D177" s="141"/>
      <c r="E177" s="141"/>
      <c r="F177" s="141"/>
      <c r="H177" s="83" t="s">
        <v>2764</v>
      </c>
      <c r="I177" s="65" t="s">
        <v>2356</v>
      </c>
      <c r="J177" s="1224" t="s">
        <v>4018</v>
      </c>
      <c r="K177" s="1225"/>
      <c r="L177" s="1225"/>
      <c r="M177" s="1225"/>
      <c r="N177" s="1226"/>
      <c r="O177" s="83" t="s">
        <v>2764</v>
      </c>
      <c r="P177" s="1166" t="s">
        <v>3926</v>
      </c>
      <c r="Q177" s="234"/>
    </row>
    <row r="178" spans="1:31" ht="12" customHeight="1">
      <c r="B178" s="191" t="s">
        <v>2919</v>
      </c>
      <c r="D178" s="191"/>
      <c r="E178" s="191"/>
      <c r="F178" s="191"/>
      <c r="G178" s="191"/>
      <c r="J178" s="179"/>
      <c r="K178" s="179"/>
      <c r="L178" s="737"/>
      <c r="M178" s="737"/>
      <c r="N178" s="737"/>
      <c r="O178" s="737"/>
      <c r="P178" s="737"/>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3700</v>
      </c>
      <c r="C183" s="5"/>
      <c r="D183" s="118"/>
      <c r="E183" s="118"/>
      <c r="F183" s="118"/>
      <c r="G183" s="740"/>
      <c r="H183" s="740"/>
      <c r="I183" s="740"/>
      <c r="J183" s="740"/>
      <c r="K183" s="740"/>
      <c r="L183" s="740"/>
      <c r="M183" s="740"/>
      <c r="O183" s="180" t="s">
        <v>2921</v>
      </c>
      <c r="P183" s="992"/>
      <c r="Q183" s="993"/>
    </row>
    <row r="184" spans="1:31" ht="4.1500000000000004" customHeight="1"/>
    <row r="185" spans="1:31" ht="11.45" customHeight="1">
      <c r="B185" s="192" t="s">
        <v>3058</v>
      </c>
      <c r="C185" s="667" t="s">
        <v>2763</v>
      </c>
      <c r="D185" s="666" t="s">
        <v>800</v>
      </c>
      <c r="E185" s="666"/>
      <c r="F185" s="666"/>
      <c r="G185" s="666"/>
      <c r="H185" s="666"/>
      <c r="I185" s="666"/>
      <c r="J185" s="666"/>
      <c r="K185" s="666"/>
      <c r="L185" s="666"/>
      <c r="M185" s="666"/>
      <c r="N185" s="666"/>
      <c r="O185" s="221" t="s">
        <v>2229</v>
      </c>
      <c r="P185" s="1166" t="s">
        <v>3925</v>
      </c>
      <c r="Q185" s="234"/>
    </row>
    <row r="186" spans="1:31" ht="11.45" customHeight="1">
      <c r="B186" s="192"/>
      <c r="C186" s="667" t="s">
        <v>2764</v>
      </c>
      <c r="D186" s="666" t="s">
        <v>2199</v>
      </c>
      <c r="E186" s="666"/>
      <c r="F186" s="666"/>
      <c r="G186" s="666"/>
      <c r="H186" s="666"/>
      <c r="I186" s="666"/>
      <c r="J186" s="666"/>
      <c r="K186" s="666"/>
      <c r="L186" s="666"/>
      <c r="M186" s="666"/>
      <c r="N186" s="666"/>
      <c r="O186" s="221" t="s">
        <v>2764</v>
      </c>
      <c r="P186" s="1166"/>
      <c r="Q186" s="234"/>
    </row>
    <row r="187" spans="1:31" ht="11.45" customHeight="1">
      <c r="A187" s="189"/>
      <c r="B187" s="192" t="s">
        <v>3061</v>
      </c>
      <c r="C187" s="994" t="s">
        <v>2901</v>
      </c>
      <c r="D187" s="994"/>
      <c r="E187" s="994"/>
      <c r="F187" s="994"/>
      <c r="G187" s="994"/>
      <c r="H187" s="83" t="s">
        <v>2763</v>
      </c>
      <c r="I187" s="65" t="s">
        <v>970</v>
      </c>
      <c r="J187" s="1224" t="s">
        <v>4016</v>
      </c>
      <c r="K187" s="1225"/>
      <c r="L187" s="1225"/>
      <c r="M187" s="1225"/>
      <c r="N187" s="1226"/>
      <c r="O187" s="83" t="s">
        <v>2169</v>
      </c>
      <c r="P187" s="1166" t="s">
        <v>3926</v>
      </c>
      <c r="Q187" s="234"/>
    </row>
    <row r="188" spans="1:31" ht="11.45" customHeight="1">
      <c r="A188" s="189"/>
      <c r="B188" s="744"/>
      <c r="C188" s="994"/>
      <c r="D188" s="994"/>
      <c r="E188" s="994"/>
      <c r="F188" s="994"/>
      <c r="G188" s="994"/>
      <c r="H188" s="83" t="s">
        <v>2764</v>
      </c>
      <c r="I188" s="65" t="s">
        <v>131</v>
      </c>
      <c r="J188" s="1224" t="s">
        <v>4016</v>
      </c>
      <c r="K188" s="1225"/>
      <c r="L188" s="1225"/>
      <c r="M188" s="1225"/>
      <c r="N188" s="1226"/>
      <c r="O188" s="83" t="s">
        <v>2764</v>
      </c>
      <c r="P188" s="1166" t="s">
        <v>3926</v>
      </c>
      <c r="Q188" s="234"/>
    </row>
    <row r="189" spans="1:31" ht="11.25" customHeight="1">
      <c r="B189" s="191" t="s">
        <v>2919</v>
      </c>
      <c r="D189" s="191"/>
      <c r="E189" s="191"/>
      <c r="F189" s="191"/>
      <c r="G189" s="191"/>
      <c r="H189" s="50"/>
      <c r="I189" s="179"/>
      <c r="J189" s="179"/>
      <c r="K189" s="179"/>
      <c r="L189" s="737"/>
      <c r="M189" s="737"/>
      <c r="N189" s="737"/>
      <c r="O189" s="737"/>
      <c r="P189" s="737"/>
      <c r="Q189" s="63"/>
    </row>
    <row r="190" spans="1:31" ht="57.75" customHeight="1">
      <c r="A190" s="1159" t="s">
        <v>4057</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2921</v>
      </c>
      <c r="P194" s="992"/>
      <c r="Q194" s="993"/>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1" t="s">
        <v>3058</v>
      </c>
      <c r="P196" s="1166" t="s">
        <v>3926</v>
      </c>
      <c r="Q196" s="234"/>
    </row>
    <row r="197" spans="1:31" ht="11.45" customHeight="1">
      <c r="B197" s="57" t="s">
        <v>3061</v>
      </c>
      <c r="C197" s="65" t="s">
        <v>194</v>
      </c>
      <c r="D197" s="65"/>
      <c r="E197" s="65"/>
      <c r="F197" s="65"/>
      <c r="G197" s="65"/>
      <c r="H197" s="65"/>
      <c r="I197" s="52"/>
      <c r="J197" s="52"/>
      <c r="K197" s="52"/>
      <c r="L197" s="190"/>
      <c r="M197" s="190"/>
      <c r="O197" s="221" t="s">
        <v>3061</v>
      </c>
      <c r="P197" s="1166" t="s">
        <v>3926</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66" t="s">
        <v>3926</v>
      </c>
      <c r="Q198" s="234"/>
    </row>
    <row r="199" spans="1:31" s="200" customFormat="1" ht="11.45" customHeight="1">
      <c r="B199" s="57" t="s">
        <v>3210</v>
      </c>
      <c r="C199" s="65" t="s">
        <v>196</v>
      </c>
      <c r="D199" s="65"/>
      <c r="E199" s="65"/>
      <c r="F199" s="65"/>
      <c r="G199" s="65"/>
      <c r="H199" s="65"/>
      <c r="I199" s="129"/>
      <c r="J199" s="129"/>
      <c r="K199" s="129"/>
      <c r="L199" s="129"/>
      <c r="M199" s="129"/>
      <c r="O199" s="62" t="s">
        <v>3210</v>
      </c>
      <c r="P199" s="1166" t="s">
        <v>3926</v>
      </c>
      <c r="Q199" s="234"/>
    </row>
    <row r="200" spans="1:31" ht="11.25" customHeight="1">
      <c r="B200" s="191" t="s">
        <v>2919</v>
      </c>
      <c r="D200" s="191"/>
      <c r="E200" s="191"/>
      <c r="F200" s="191"/>
      <c r="G200" s="191"/>
      <c r="H200" s="50"/>
      <c r="I200" s="179"/>
      <c r="J200" s="179"/>
      <c r="K200" s="179"/>
      <c r="L200" s="737"/>
      <c r="M200" s="737"/>
      <c r="N200" s="737"/>
      <c r="O200" s="737"/>
      <c r="P200" s="737"/>
      <c r="Q200" s="63"/>
    </row>
    <row r="201" spans="1:31" ht="36.75" customHeight="1">
      <c r="A201" s="1152" t="s">
        <v>4090</v>
      </c>
      <c r="B201" s="1153"/>
      <c r="C201" s="1153"/>
      <c r="D201" s="1153"/>
      <c r="E201" s="1153"/>
      <c r="F201" s="1153"/>
      <c r="G201" s="1153"/>
      <c r="H201" s="1153"/>
      <c r="I201" s="1153"/>
      <c r="J201" s="1153"/>
      <c r="K201" s="1153"/>
      <c r="L201" s="1153"/>
      <c r="M201" s="1153"/>
      <c r="N201" s="1153"/>
      <c r="O201" s="1153"/>
      <c r="P201" s="1153"/>
      <c r="Q201" s="1154"/>
      <c r="R201" s="998" t="s">
        <v>1931</v>
      </c>
      <c r="S201" s="998"/>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2921</v>
      </c>
      <c r="P208" s="992"/>
      <c r="Q208" s="993"/>
    </row>
    <row r="209" spans="1:19" s="31" customFormat="1" ht="11.45" customHeight="1">
      <c r="B209" s="195" t="s">
        <v>1837</v>
      </c>
      <c r="N209" s="165"/>
      <c r="P209" s="1166" t="s">
        <v>3925</v>
      </c>
      <c r="Q209" s="234"/>
    </row>
    <row r="210" spans="1:19" ht="12" customHeight="1">
      <c r="B210" s="57" t="s">
        <v>3058</v>
      </c>
      <c r="C210" s="118" t="s">
        <v>2085</v>
      </c>
      <c r="D210" s="52"/>
      <c r="E210" s="52"/>
      <c r="F210" s="52"/>
      <c r="G210" s="52"/>
      <c r="H210" s="52"/>
      <c r="I210" s="52"/>
      <c r="J210" s="52"/>
      <c r="K210" s="52"/>
      <c r="L210" s="52"/>
      <c r="M210" s="52"/>
    </row>
    <row r="211" spans="1:19" ht="11.45" customHeight="1">
      <c r="B211" s="57"/>
      <c r="C211" s="83" t="s">
        <v>2763</v>
      </c>
      <c r="D211" s="65" t="s">
        <v>3001</v>
      </c>
      <c r="E211" s="65"/>
      <c r="F211" s="65"/>
      <c r="G211" s="65"/>
      <c r="H211" s="65"/>
      <c r="I211" s="52"/>
      <c r="J211" s="52"/>
      <c r="K211" s="52"/>
      <c r="L211" s="83" t="s">
        <v>2229</v>
      </c>
      <c r="M211" s="1224" t="s">
        <v>4019</v>
      </c>
      <c r="N211" s="1225"/>
      <c r="O211" s="1226"/>
      <c r="P211" s="1166" t="s">
        <v>4004</v>
      </c>
      <c r="Q211" s="234"/>
    </row>
    <row r="212" spans="1:19" ht="11.45" customHeight="1">
      <c r="B212" s="57"/>
      <c r="C212" s="83" t="s">
        <v>2764</v>
      </c>
      <c r="D212" s="40" t="s">
        <v>198</v>
      </c>
      <c r="E212" s="40"/>
      <c r="F212" s="40"/>
      <c r="G212" s="40"/>
      <c r="H212" s="40"/>
      <c r="I212" s="52"/>
      <c r="J212" s="52"/>
      <c r="K212" s="52"/>
      <c r="L212" s="83" t="s">
        <v>2230</v>
      </c>
      <c r="M212" s="1224" t="s">
        <v>4020</v>
      </c>
      <c r="N212" s="1225"/>
      <c r="O212" s="1226"/>
      <c r="P212" s="1166" t="s">
        <v>4004</v>
      </c>
      <c r="Q212" s="234"/>
    </row>
    <row r="213" spans="1:19" ht="11.45" customHeight="1">
      <c r="B213" s="57"/>
      <c r="C213" s="83" t="s">
        <v>2765</v>
      </c>
      <c r="D213" s="40" t="s">
        <v>854</v>
      </c>
      <c r="E213" s="40"/>
      <c r="F213" s="40"/>
      <c r="G213" s="40"/>
      <c r="H213" s="40"/>
      <c r="I213" s="52"/>
      <c r="J213" s="52"/>
      <c r="K213" s="52"/>
      <c r="L213" s="83" t="s">
        <v>2231</v>
      </c>
      <c r="M213" s="1246" t="s">
        <v>4021</v>
      </c>
      <c r="N213" s="1247"/>
      <c r="O213" s="1248"/>
      <c r="P213" s="1166" t="s">
        <v>4004</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1166" t="s">
        <v>4004</v>
      </c>
      <c r="Q215" s="234"/>
    </row>
    <row r="216" spans="1:19" ht="10.9" customHeight="1">
      <c r="B216" s="57"/>
      <c r="C216" s="65" t="s">
        <v>3790</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2763</v>
      </c>
      <c r="D218" s="1152" t="s">
        <v>4022</v>
      </c>
      <c r="E218" s="1153"/>
      <c r="F218" s="1153"/>
      <c r="G218" s="1153"/>
      <c r="H218" s="1154"/>
      <c r="I218" s="456"/>
      <c r="J218" s="294"/>
      <c r="K218" s="83" t="s">
        <v>2765</v>
      </c>
      <c r="L218" s="1152" t="s">
        <v>3197</v>
      </c>
      <c r="M218" s="1153"/>
      <c r="N218" s="1153"/>
      <c r="O218" s="1154"/>
      <c r="P218" s="354"/>
      <c r="Q218" s="294"/>
    </row>
    <row r="219" spans="1:19" s="53" customFormat="1" ht="11.45" customHeight="1">
      <c r="A219" s="129"/>
      <c r="B219" s="64"/>
      <c r="C219" s="83" t="s">
        <v>2764</v>
      </c>
      <c r="D219" s="1155" t="s">
        <v>4023</v>
      </c>
      <c r="E219" s="1156"/>
      <c r="F219" s="1156"/>
      <c r="G219" s="1156"/>
      <c r="H219" s="1157"/>
      <c r="I219" s="689"/>
      <c r="J219" s="295"/>
      <c r="K219" s="83" t="s">
        <v>3569</v>
      </c>
      <c r="L219" s="1155" t="s">
        <v>4024</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66" t="s">
        <v>4004</v>
      </c>
      <c r="Q221" s="234"/>
    </row>
    <row r="222" spans="1:19" ht="11.45" customHeight="1">
      <c r="B222" s="57"/>
      <c r="C222" s="83" t="s">
        <v>2763</v>
      </c>
      <c r="D222" s="65" t="s">
        <v>207</v>
      </c>
      <c r="E222" s="65"/>
      <c r="F222" s="65"/>
      <c r="G222" s="65"/>
      <c r="H222" s="65"/>
      <c r="I222" s="52"/>
      <c r="J222" s="42"/>
      <c r="K222" s="52"/>
      <c r="L222" s="42"/>
      <c r="M222" s="42"/>
      <c r="O222" s="83" t="s">
        <v>2763</v>
      </c>
      <c r="P222" s="1166" t="s">
        <v>3926</v>
      </c>
      <c r="Q222" s="234"/>
    </row>
    <row r="223" spans="1:19" ht="11.45" customHeight="1">
      <c r="C223" s="83" t="s">
        <v>2764</v>
      </c>
      <c r="D223" s="40" t="s">
        <v>2646</v>
      </c>
      <c r="E223" s="40"/>
      <c r="F223" s="40"/>
      <c r="G223" s="40"/>
      <c r="H223" s="40"/>
      <c r="I223" s="52"/>
      <c r="J223" s="42"/>
      <c r="K223" s="52"/>
      <c r="L223" s="42"/>
      <c r="M223" s="42"/>
      <c r="O223" s="83" t="s">
        <v>2764</v>
      </c>
      <c r="P223" s="1166" t="s">
        <v>3926</v>
      </c>
      <c r="Q223" s="234"/>
    </row>
    <row r="224" spans="1:19" ht="11.45" customHeight="1">
      <c r="C224" s="83" t="s">
        <v>2765</v>
      </c>
      <c r="D224" s="40" t="s">
        <v>2255</v>
      </c>
      <c r="E224" s="40"/>
      <c r="F224" s="40"/>
      <c r="G224" s="40"/>
      <c r="H224" s="40"/>
      <c r="I224" s="52"/>
      <c r="J224" s="42"/>
      <c r="K224" s="52"/>
      <c r="L224" s="42"/>
      <c r="M224" s="42"/>
      <c r="O224" s="83" t="s">
        <v>2765</v>
      </c>
      <c r="P224" s="1166" t="s">
        <v>3925</v>
      </c>
      <c r="Q224" s="234"/>
    </row>
    <row r="225" spans="1:31" ht="11.45" customHeight="1">
      <c r="B225" s="57"/>
      <c r="C225" s="83" t="s">
        <v>3569</v>
      </c>
      <c r="D225" s="40" t="s">
        <v>208</v>
      </c>
      <c r="E225" s="40"/>
      <c r="F225" s="40"/>
      <c r="G225" s="40"/>
      <c r="H225" s="40"/>
      <c r="I225" s="52"/>
      <c r="J225" s="42"/>
      <c r="K225" s="52"/>
      <c r="L225" s="42"/>
      <c r="M225" s="42"/>
      <c r="O225" s="83" t="s">
        <v>3569</v>
      </c>
      <c r="P225" s="1166" t="s">
        <v>3926</v>
      </c>
      <c r="Q225" s="234"/>
    </row>
    <row r="226" spans="1:31" ht="11.45" customHeight="1">
      <c r="B226" s="57"/>
      <c r="C226" s="83" t="s">
        <v>2302</v>
      </c>
      <c r="D226" s="65" t="s">
        <v>1350</v>
      </c>
      <c r="E226" s="65"/>
      <c r="F226" s="65"/>
      <c r="G226" s="65"/>
      <c r="H226" s="65"/>
      <c r="I226" s="52"/>
      <c r="J226" s="42"/>
      <c r="K226" s="52"/>
      <c r="L226" s="42"/>
      <c r="M226" s="42"/>
      <c r="O226" s="83" t="s">
        <v>1351</v>
      </c>
      <c r="P226" s="1166" t="s">
        <v>3926</v>
      </c>
      <c r="Q226" s="234"/>
    </row>
    <row r="227" spans="1:31" ht="11.45" customHeight="1">
      <c r="B227" s="57"/>
      <c r="C227" s="83"/>
      <c r="D227" s="65" t="s">
        <v>2232</v>
      </c>
      <c r="E227" s="65"/>
      <c r="F227" s="65"/>
      <c r="G227" s="65"/>
      <c r="H227" s="65"/>
      <c r="I227" s="52"/>
      <c r="J227" s="42"/>
      <c r="K227" s="52"/>
      <c r="L227" s="42"/>
      <c r="M227" s="42"/>
      <c r="O227" s="83" t="s">
        <v>1352</v>
      </c>
      <c r="P227" s="1166" t="s">
        <v>3925</v>
      </c>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2343</v>
      </c>
      <c r="D229" s="65"/>
      <c r="E229" s="65"/>
      <c r="F229" s="65"/>
      <c r="G229" s="65"/>
      <c r="H229" s="65"/>
      <c r="I229" s="65"/>
      <c r="J229" s="65"/>
      <c r="K229" s="52"/>
      <c r="L229" s="65"/>
      <c r="M229" s="65"/>
      <c r="O229" s="62" t="s">
        <v>3210</v>
      </c>
      <c r="P229" s="1166" t="s">
        <v>4004</v>
      </c>
      <c r="Q229" s="234"/>
    </row>
    <row r="230" spans="1:31" ht="11.45" customHeight="1">
      <c r="B230" s="57"/>
      <c r="C230" s="83" t="s">
        <v>2763</v>
      </c>
      <c r="D230" s="49" t="s">
        <v>1932</v>
      </c>
      <c r="E230" s="52"/>
      <c r="F230" s="52"/>
      <c r="G230" s="49"/>
      <c r="H230" s="40"/>
      <c r="I230" s="52"/>
      <c r="J230" s="40"/>
      <c r="K230" s="52"/>
      <c r="L230" s="40"/>
      <c r="M230" s="40"/>
      <c r="O230" s="83" t="s">
        <v>2763</v>
      </c>
      <c r="P230" s="1166" t="s">
        <v>3926</v>
      </c>
      <c r="Q230" s="234"/>
    </row>
    <row r="231" spans="1:31" ht="11.45" customHeight="1">
      <c r="B231" s="57"/>
      <c r="C231" s="83" t="s">
        <v>2764</v>
      </c>
      <c r="D231" s="49" t="s">
        <v>199</v>
      </c>
      <c r="E231" s="52"/>
      <c r="F231" s="52"/>
      <c r="G231" s="40"/>
      <c r="H231" s="40"/>
      <c r="I231" s="52"/>
      <c r="J231" s="40"/>
      <c r="K231" s="52"/>
      <c r="L231" s="40"/>
      <c r="M231" s="40"/>
      <c r="O231" s="83" t="s">
        <v>2764</v>
      </c>
      <c r="P231" s="1166" t="s">
        <v>3926</v>
      </c>
      <c r="Q231" s="234"/>
    </row>
    <row r="232" spans="1:31" ht="11.45" customHeight="1">
      <c r="B232" s="57"/>
      <c r="C232" s="83" t="s">
        <v>2765</v>
      </c>
      <c r="D232" s="40" t="s">
        <v>2624</v>
      </c>
      <c r="E232" s="52"/>
      <c r="F232" s="52"/>
      <c r="G232" s="40"/>
      <c r="H232" s="40"/>
      <c r="I232" s="52"/>
      <c r="J232" s="40"/>
      <c r="K232" s="52"/>
      <c r="L232" s="40"/>
      <c r="M232" s="40"/>
      <c r="O232" s="83" t="s">
        <v>3579</v>
      </c>
      <c r="P232" s="1166" t="s">
        <v>3925</v>
      </c>
      <c r="Q232" s="234"/>
    </row>
    <row r="233" spans="1:31" ht="11.45" customHeight="1">
      <c r="B233" s="46"/>
      <c r="C233" s="52"/>
      <c r="D233" s="40" t="s">
        <v>1983</v>
      </c>
      <c r="E233" s="52"/>
      <c r="F233" s="52"/>
      <c r="G233" s="40"/>
      <c r="H233" s="40"/>
      <c r="I233" s="52"/>
      <c r="J233" s="40"/>
      <c r="K233" s="52"/>
      <c r="L233" s="40"/>
      <c r="M233" s="40"/>
      <c r="O233" s="83" t="s">
        <v>3580</v>
      </c>
      <c r="P233" s="1166" t="s">
        <v>3925</v>
      </c>
      <c r="Q233" s="234"/>
    </row>
    <row r="234" spans="1:31" ht="11.25" customHeight="1">
      <c r="B234" s="191" t="s">
        <v>2919</v>
      </c>
      <c r="D234" s="191"/>
      <c r="E234" s="191"/>
      <c r="F234" s="191"/>
      <c r="G234" s="191"/>
      <c r="H234" s="50"/>
      <c r="I234" s="179"/>
      <c r="J234" s="179"/>
      <c r="K234" s="179"/>
      <c r="L234" s="737"/>
      <c r="M234" s="737"/>
      <c r="N234" s="737"/>
      <c r="O234" s="737"/>
      <c r="P234" s="737"/>
      <c r="Q234" s="63"/>
    </row>
    <row r="235" spans="1:31" ht="11.45" customHeight="1">
      <c r="A235" s="1152" t="s">
        <v>4091</v>
      </c>
      <c r="B235" s="1153"/>
      <c r="C235" s="1153"/>
      <c r="D235" s="1153"/>
      <c r="E235" s="1153"/>
      <c r="F235" s="1153"/>
      <c r="G235" s="1153"/>
      <c r="H235" s="1153"/>
      <c r="I235" s="1153"/>
      <c r="J235" s="1153"/>
      <c r="K235" s="1153"/>
      <c r="L235" s="1153"/>
      <c r="M235" s="1153"/>
      <c r="N235" s="1153"/>
      <c r="O235" s="1153"/>
      <c r="P235" s="1153"/>
      <c r="Q235" s="1154"/>
      <c r="R235" s="998" t="s">
        <v>1931</v>
      </c>
      <c r="S235" s="998"/>
      <c r="U235" s="185"/>
      <c r="V235" s="185"/>
      <c r="W235" s="185"/>
      <c r="X235" s="185"/>
      <c r="Y235" s="185"/>
      <c r="Z235" s="185"/>
      <c r="AA235" s="185"/>
      <c r="AB235" s="185"/>
      <c r="AC235" s="185"/>
      <c r="AD235" s="185"/>
      <c r="AE235" s="186"/>
    </row>
    <row r="236" spans="1:31" ht="42" customHeight="1">
      <c r="A236" s="1155" t="s">
        <v>4092</v>
      </c>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3119</v>
      </c>
      <c r="C241" s="5"/>
      <c r="D241" s="118"/>
      <c r="E241" s="118"/>
      <c r="F241" s="118"/>
      <c r="G241" s="118"/>
      <c r="H241" s="740"/>
      <c r="I241" s="740"/>
      <c r="J241" s="740"/>
      <c r="K241" s="740"/>
      <c r="L241" s="740"/>
      <c r="M241" s="740"/>
      <c r="O241" s="180" t="s">
        <v>2921</v>
      </c>
      <c r="P241" s="992"/>
      <c r="Q241" s="993"/>
    </row>
    <row r="242" spans="1:31" ht="4.9000000000000004" customHeight="1"/>
    <row r="243" spans="1:31" ht="11.45" customHeight="1">
      <c r="B243" s="57" t="s">
        <v>3058</v>
      </c>
      <c r="C243" s="65" t="s">
        <v>1951</v>
      </c>
      <c r="D243" s="52"/>
      <c r="E243" s="65"/>
      <c r="F243" s="65"/>
      <c r="G243" s="65"/>
      <c r="H243" s="65"/>
      <c r="I243" s="52"/>
      <c r="J243" s="52"/>
      <c r="K243" s="52"/>
      <c r="L243" s="62" t="s">
        <v>3058</v>
      </c>
      <c r="M243" s="1224" t="s">
        <v>4025</v>
      </c>
      <c r="N243" s="1225"/>
      <c r="O243" s="1226"/>
      <c r="P243" s="1019" t="s">
        <v>2799</v>
      </c>
      <c r="Q243" s="1020"/>
    </row>
    <row r="244" spans="1:31" ht="11.45" customHeight="1">
      <c r="B244" s="57" t="s">
        <v>3061</v>
      </c>
      <c r="C244" s="65" t="s">
        <v>1920</v>
      </c>
      <c r="D244" s="65"/>
      <c r="E244" s="65"/>
      <c r="F244" s="65"/>
      <c r="G244" s="65"/>
      <c r="H244" s="65"/>
      <c r="I244" s="52"/>
      <c r="J244" s="52"/>
      <c r="K244" s="52"/>
      <c r="L244" s="62" t="s">
        <v>3061</v>
      </c>
      <c r="M244" s="1249">
        <v>40706</v>
      </c>
      <c r="N244" s="1250"/>
      <c r="O244" s="1251"/>
      <c r="P244" s="1021"/>
      <c r="Q244" s="1022"/>
    </row>
    <row r="245" spans="1:31" s="200" customFormat="1" ht="11.45" customHeight="1">
      <c r="B245" s="57" t="s">
        <v>1237</v>
      </c>
      <c r="C245" s="65" t="s">
        <v>3015</v>
      </c>
      <c r="D245" s="65"/>
      <c r="E245" s="65"/>
      <c r="F245" s="65"/>
      <c r="G245" s="65"/>
      <c r="H245" s="65"/>
      <c r="I245" s="129"/>
      <c r="J245" s="129"/>
      <c r="K245" s="129"/>
      <c r="L245" s="62" t="s">
        <v>1237</v>
      </c>
      <c r="M245" s="1224" t="s">
        <v>4026</v>
      </c>
      <c r="N245" s="1225"/>
      <c r="O245" s="1226"/>
      <c r="P245" s="1019"/>
      <c r="Q245" s="1020"/>
    </row>
    <row r="246" spans="1:31" s="200" customFormat="1" ht="11.45" customHeight="1">
      <c r="B246" s="57" t="s">
        <v>3210</v>
      </c>
      <c r="C246" s="65" t="s">
        <v>3840</v>
      </c>
      <c r="D246" s="65"/>
      <c r="E246" s="65"/>
      <c r="F246" s="65"/>
      <c r="G246" s="65"/>
      <c r="H246" s="65"/>
      <c r="I246" s="129"/>
      <c r="J246" s="129"/>
      <c r="K246" s="129"/>
      <c r="L246" s="129"/>
      <c r="M246" s="129"/>
      <c r="O246" s="62" t="s">
        <v>3210</v>
      </c>
      <c r="P246" s="1166" t="s">
        <v>3926</v>
      </c>
      <c r="Q246" s="234"/>
    </row>
    <row r="247" spans="1:31" s="200" customFormat="1" ht="22.15" customHeight="1">
      <c r="B247" s="192" t="s">
        <v>2761</v>
      </c>
      <c r="C247" s="1023" t="s">
        <v>1968</v>
      </c>
      <c r="D247" s="1023"/>
      <c r="E247" s="1023"/>
      <c r="F247" s="1023"/>
      <c r="G247" s="1023"/>
      <c r="H247" s="1023"/>
      <c r="I247" s="1023"/>
      <c r="J247" s="1023"/>
      <c r="K247" s="1023"/>
      <c r="L247" s="1023"/>
      <c r="M247" s="1023"/>
      <c r="O247" s="221" t="s">
        <v>2761</v>
      </c>
      <c r="P247" s="1166" t="s">
        <v>4004</v>
      </c>
      <c r="Q247" s="234"/>
    </row>
    <row r="248" spans="1:31" ht="11.25" customHeight="1">
      <c r="B248" s="191" t="s">
        <v>2919</v>
      </c>
      <c r="D248" s="191"/>
      <c r="E248" s="191"/>
      <c r="F248" s="191"/>
      <c r="G248" s="191"/>
      <c r="H248" s="50"/>
      <c r="I248" s="179"/>
      <c r="J248" s="179"/>
      <c r="K248" s="179"/>
      <c r="L248" s="737"/>
      <c r="M248" s="737"/>
      <c r="N248" s="737"/>
      <c r="O248" s="737"/>
      <c r="P248" s="737"/>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998" t="s">
        <v>1931</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2920</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2818</v>
      </c>
      <c r="C255" s="5"/>
      <c r="D255" s="118"/>
      <c r="E255" s="118"/>
      <c r="F255" s="118"/>
      <c r="G255" s="118"/>
      <c r="H255" s="740"/>
      <c r="I255" s="740"/>
      <c r="J255" s="740"/>
      <c r="K255" s="740"/>
      <c r="L255" s="740"/>
      <c r="M255" s="740"/>
      <c r="O255" s="180" t="s">
        <v>2921</v>
      </c>
      <c r="P255" s="992"/>
      <c r="Q255" s="993"/>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1166" t="s">
        <v>3926</v>
      </c>
      <c r="Q257" s="234"/>
    </row>
    <row r="258" spans="1:31" s="200" customFormat="1" ht="11.45" customHeight="1">
      <c r="B258" s="57" t="s">
        <v>3061</v>
      </c>
      <c r="C258" s="65" t="s">
        <v>2112</v>
      </c>
      <c r="D258" s="65"/>
      <c r="E258" s="65"/>
      <c r="F258" s="65"/>
      <c r="G258" s="65"/>
      <c r="H258" s="65"/>
      <c r="I258" s="65"/>
      <c r="J258" s="65"/>
      <c r="K258" s="65"/>
      <c r="L258" s="65"/>
      <c r="M258" s="65"/>
      <c r="O258" s="62" t="s">
        <v>3061</v>
      </c>
      <c r="P258" s="1166" t="s">
        <v>3926</v>
      </c>
      <c r="Q258" s="234"/>
    </row>
    <row r="259" spans="1:31" ht="11.25" customHeight="1">
      <c r="B259" s="191" t="s">
        <v>2919</v>
      </c>
      <c r="D259" s="191"/>
      <c r="E259" s="191"/>
      <c r="F259" s="191"/>
      <c r="G259" s="191"/>
      <c r="H259" s="50"/>
      <c r="I259" s="179"/>
      <c r="J259" s="179"/>
      <c r="K259" s="179"/>
      <c r="L259" s="737"/>
      <c r="M259" s="737"/>
      <c r="N259" s="737"/>
      <c r="O259" s="737"/>
      <c r="P259" s="737"/>
      <c r="Q259" s="63"/>
    </row>
    <row r="260" spans="1:31" ht="26.25" customHeight="1">
      <c r="A260" s="1152" t="s">
        <v>4070</v>
      </c>
      <c r="B260" s="1153"/>
      <c r="C260" s="1153"/>
      <c r="D260" s="1153"/>
      <c r="E260" s="1153"/>
      <c r="F260" s="1153"/>
      <c r="G260" s="1153"/>
      <c r="H260" s="1153"/>
      <c r="I260" s="1153"/>
      <c r="J260" s="1153"/>
      <c r="K260" s="1153"/>
      <c r="L260" s="1153"/>
      <c r="M260" s="1153"/>
      <c r="N260" s="1153"/>
      <c r="O260" s="1153"/>
      <c r="P260" s="1153"/>
      <c r="Q260" s="1154"/>
      <c r="R260" s="998" t="s">
        <v>1931</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1088</v>
      </c>
      <c r="C266" s="741"/>
      <c r="D266" s="740"/>
      <c r="E266" s="740"/>
      <c r="F266" s="740"/>
      <c r="G266" s="740"/>
      <c r="H266" s="740"/>
      <c r="I266" s="740"/>
      <c r="J266" s="740"/>
      <c r="K266" s="740"/>
      <c r="L266" s="740"/>
      <c r="M266" s="740"/>
      <c r="O266" s="180" t="s">
        <v>2921</v>
      </c>
      <c r="P266" s="992"/>
      <c r="Q266" s="993"/>
    </row>
    <row r="267" spans="1:31" ht="3" customHeight="1"/>
    <row r="268" spans="1:31" s="705" customFormat="1" ht="24" customHeight="1">
      <c r="B268" s="192" t="s">
        <v>3058</v>
      </c>
      <c r="C268" s="994" t="s">
        <v>1206</v>
      </c>
      <c r="D268" s="1039"/>
      <c r="E268" s="1039"/>
      <c r="F268" s="1039"/>
      <c r="G268" s="1039"/>
      <c r="H268" s="1039"/>
      <c r="I268" s="1039"/>
      <c r="J268" s="1039"/>
      <c r="K268" s="1039"/>
      <c r="L268" s="1039"/>
      <c r="M268" s="1039"/>
      <c r="N268" s="1039"/>
      <c r="O268" s="221" t="s">
        <v>3058</v>
      </c>
      <c r="P268" s="1166" t="s">
        <v>4004</v>
      </c>
      <c r="Q268" s="234"/>
    </row>
    <row r="269" spans="1:31" s="705" customFormat="1" ht="24" customHeight="1">
      <c r="B269" s="192" t="s">
        <v>3061</v>
      </c>
      <c r="C269" s="994" t="s">
        <v>1207</v>
      </c>
      <c r="D269" s="1039"/>
      <c r="E269" s="1039"/>
      <c r="F269" s="1039"/>
      <c r="G269" s="1039"/>
      <c r="H269" s="1039"/>
      <c r="I269" s="1039"/>
      <c r="J269" s="1039"/>
      <c r="K269" s="1039"/>
      <c r="L269" s="1039"/>
      <c r="M269" s="1039"/>
      <c r="N269" s="1039"/>
      <c r="O269" s="221" t="s">
        <v>3061</v>
      </c>
      <c r="P269" s="1166" t="s">
        <v>4004</v>
      </c>
      <c r="Q269" s="234"/>
    </row>
    <row r="270" spans="1:31" s="705" customFormat="1" ht="33" customHeight="1">
      <c r="B270" s="192" t="s">
        <v>1237</v>
      </c>
      <c r="C270" s="994" t="s">
        <v>1208</v>
      </c>
      <c r="D270" s="1039"/>
      <c r="E270" s="1039"/>
      <c r="F270" s="1039"/>
      <c r="G270" s="1039"/>
      <c r="H270" s="1039"/>
      <c r="I270" s="1039"/>
      <c r="J270" s="1039"/>
      <c r="K270" s="1039"/>
      <c r="L270" s="1039"/>
      <c r="M270" s="1039"/>
      <c r="N270" s="1039"/>
      <c r="O270" s="221" t="s">
        <v>3061</v>
      </c>
      <c r="P270" s="1166"/>
      <c r="Q270" s="234"/>
    </row>
    <row r="271" spans="1:31" ht="11.25" customHeight="1">
      <c r="B271" s="191" t="s">
        <v>2919</v>
      </c>
      <c r="D271" s="191"/>
      <c r="E271" s="191"/>
      <c r="F271" s="191"/>
      <c r="G271" s="191"/>
      <c r="H271" s="50"/>
      <c r="I271" s="179"/>
      <c r="J271" s="179"/>
      <c r="K271" s="179"/>
      <c r="L271" s="737"/>
      <c r="M271" s="737"/>
      <c r="N271" s="737"/>
      <c r="O271" s="737"/>
      <c r="P271" s="737"/>
      <c r="Q271" s="63"/>
    </row>
    <row r="272" spans="1:31" ht="53.25" customHeight="1">
      <c r="A272" s="1152" t="s">
        <v>4104</v>
      </c>
      <c r="B272" s="1153"/>
      <c r="C272" s="1153"/>
      <c r="D272" s="1153"/>
      <c r="E272" s="1153"/>
      <c r="F272" s="1153"/>
      <c r="G272" s="1153"/>
      <c r="H272" s="1153"/>
      <c r="I272" s="1153"/>
      <c r="J272" s="1153"/>
      <c r="K272" s="1153"/>
      <c r="L272" s="1153"/>
      <c r="M272" s="1153"/>
      <c r="N272" s="1153"/>
      <c r="O272" s="1153"/>
      <c r="P272" s="1153"/>
      <c r="Q272" s="1154"/>
      <c r="R272" s="998" t="s">
        <v>1931</v>
      </c>
      <c r="S272" s="998"/>
      <c r="U272" s="185"/>
      <c r="V272" s="185"/>
      <c r="W272" s="185"/>
      <c r="X272" s="185"/>
      <c r="Y272" s="185"/>
      <c r="Z272" s="185"/>
      <c r="AA272" s="185"/>
      <c r="AB272" s="185"/>
      <c r="AC272" s="185"/>
      <c r="AD272" s="185"/>
      <c r="AE272" s="186"/>
    </row>
    <row r="273" spans="1:31" ht="25.5" customHeight="1">
      <c r="A273" s="1155" t="s">
        <v>4093</v>
      </c>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876</v>
      </c>
      <c r="C278" s="201"/>
      <c r="D278" s="202"/>
      <c r="E278" s="740"/>
      <c r="F278" s="740"/>
      <c r="G278" s="740"/>
      <c r="H278" s="740"/>
      <c r="I278" s="740"/>
      <c r="J278" s="740"/>
      <c r="K278" s="740"/>
      <c r="L278" s="740"/>
      <c r="M278" s="740"/>
      <c r="O278" s="180" t="s">
        <v>2921</v>
      </c>
      <c r="P278" s="992"/>
      <c r="Q278" s="993"/>
    </row>
    <row r="279" spans="1:31" s="200" customFormat="1" ht="22.9" customHeight="1">
      <c r="B279" s="192" t="s">
        <v>3058</v>
      </c>
      <c r="C279" s="1023" t="s">
        <v>2942</v>
      </c>
      <c r="D279" s="1023"/>
      <c r="E279" s="1023"/>
      <c r="F279" s="1023"/>
      <c r="G279" s="1023"/>
      <c r="H279" s="1023"/>
      <c r="I279" s="1023"/>
      <c r="J279" s="1023"/>
      <c r="K279" s="1023"/>
      <c r="L279" s="1023"/>
      <c r="M279" s="1023"/>
      <c r="O279" s="221" t="s">
        <v>3058</v>
      </c>
      <c r="P279" s="1252" t="s">
        <v>3926</v>
      </c>
      <c r="Q279" s="234"/>
    </row>
    <row r="280" spans="1:31" s="200" customFormat="1" ht="12" customHeight="1">
      <c r="B280" s="57" t="s">
        <v>3061</v>
      </c>
      <c r="C280" s="40" t="s">
        <v>3117</v>
      </c>
      <c r="D280" s="40"/>
      <c r="E280" s="40"/>
      <c r="F280" s="40"/>
      <c r="G280" s="40"/>
      <c r="H280" s="40"/>
      <c r="I280" s="40"/>
      <c r="J280" s="40"/>
      <c r="K280" s="40"/>
      <c r="L280" s="40"/>
      <c r="M280" s="40"/>
      <c r="O280" s="62" t="s">
        <v>3061</v>
      </c>
      <c r="P280" s="1166" t="s">
        <v>3926</v>
      </c>
      <c r="Q280" s="234"/>
    </row>
    <row r="281" spans="1:31" s="200" customFormat="1" ht="22.9" customHeight="1">
      <c r="B281" s="192" t="s">
        <v>1237</v>
      </c>
      <c r="C281" s="994" t="s">
        <v>2886</v>
      </c>
      <c r="D281" s="1039"/>
      <c r="E281" s="1039"/>
      <c r="F281" s="1039"/>
      <c r="G281" s="1039"/>
      <c r="H281" s="1039"/>
      <c r="I281" s="1039"/>
      <c r="J281" s="1039"/>
      <c r="K281" s="1039"/>
      <c r="L281" s="1039"/>
      <c r="M281" s="1039"/>
      <c r="N281" s="1039"/>
      <c r="O281" s="62" t="s">
        <v>1237</v>
      </c>
      <c r="P281" s="1166" t="s">
        <v>3926</v>
      </c>
      <c r="Q281" s="234"/>
    </row>
    <row r="282" spans="1:31" s="200" customFormat="1" ht="12" customHeight="1">
      <c r="B282" s="57" t="s">
        <v>3210</v>
      </c>
      <c r="C282" s="40" t="s">
        <v>2887</v>
      </c>
      <c r="D282" s="40"/>
      <c r="E282" s="40"/>
      <c r="F282" s="40"/>
      <c r="G282" s="40"/>
      <c r="H282" s="40"/>
      <c r="I282" s="40"/>
      <c r="J282" s="40"/>
      <c r="K282" s="40"/>
      <c r="L282" s="40"/>
      <c r="M282" s="40"/>
      <c r="O282" s="62" t="s">
        <v>3210</v>
      </c>
      <c r="P282" s="1166" t="s">
        <v>3926</v>
      </c>
      <c r="Q282" s="234"/>
    </row>
    <row r="283" spans="1:31" s="200" customFormat="1" ht="22.9" customHeight="1">
      <c r="B283" s="192" t="s">
        <v>2761</v>
      </c>
      <c r="C283" s="994" t="s">
        <v>1079</v>
      </c>
      <c r="D283" s="1039"/>
      <c r="E283" s="1039"/>
      <c r="F283" s="1039"/>
      <c r="G283" s="1039"/>
      <c r="H283" s="1039"/>
      <c r="I283" s="1039"/>
      <c r="J283" s="1039"/>
      <c r="K283" s="1039"/>
      <c r="L283" s="1039"/>
      <c r="M283" s="1039"/>
      <c r="N283" s="1039"/>
      <c r="O283" s="62" t="s">
        <v>2761</v>
      </c>
      <c r="P283" s="1166" t="s">
        <v>3926</v>
      </c>
      <c r="Q283" s="234"/>
    </row>
    <row r="284" spans="1:31" ht="11.25" customHeight="1">
      <c r="B284" s="191" t="s">
        <v>2919</v>
      </c>
      <c r="D284" s="191"/>
      <c r="E284" s="191"/>
      <c r="F284" s="191"/>
      <c r="G284" s="191"/>
      <c r="H284" s="50"/>
      <c r="I284" s="179"/>
      <c r="J284" s="179"/>
      <c r="K284" s="179"/>
      <c r="L284" s="737"/>
      <c r="M284" s="737"/>
      <c r="N284" s="737"/>
      <c r="O284" s="737"/>
      <c r="P284" s="737"/>
      <c r="Q284" s="63"/>
    </row>
    <row r="285" spans="1:31" ht="42" customHeight="1">
      <c r="A285" s="1152" t="s">
        <v>4105</v>
      </c>
      <c r="B285" s="1153"/>
      <c r="C285" s="1153"/>
      <c r="D285" s="1153"/>
      <c r="E285" s="1153"/>
      <c r="F285" s="1153"/>
      <c r="G285" s="1153"/>
      <c r="H285" s="1153"/>
      <c r="I285" s="1153"/>
      <c r="J285" s="1153"/>
      <c r="K285" s="1153"/>
      <c r="L285" s="1153"/>
      <c r="M285" s="1153"/>
      <c r="N285" s="1153"/>
      <c r="O285" s="1153"/>
      <c r="P285" s="1153"/>
      <c r="Q285" s="1154"/>
      <c r="R285" s="998" t="s">
        <v>1931</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3323</v>
      </c>
      <c r="C290" s="1012"/>
      <c r="D290" s="1012"/>
      <c r="E290" s="1012"/>
      <c r="F290" s="1012"/>
      <c r="G290" s="1012"/>
      <c r="H290" s="740"/>
      <c r="I290" s="740"/>
      <c r="J290" s="740"/>
      <c r="K290" s="740"/>
      <c r="L290" s="740"/>
      <c r="M290" s="740"/>
      <c r="O290" s="180" t="s">
        <v>2921</v>
      </c>
      <c r="P290" s="992"/>
      <c r="Q290" s="993"/>
    </row>
    <row r="291" spans="1:256" ht="11.45" customHeight="1">
      <c r="B291" s="195" t="s">
        <v>3380</v>
      </c>
      <c r="P291" s="1166" t="s">
        <v>3925</v>
      </c>
      <c r="Q291" s="234"/>
    </row>
    <row r="292" spans="1:256" ht="12" customHeight="1">
      <c r="B292" s="197" t="s">
        <v>3324</v>
      </c>
      <c r="C292" s="197"/>
      <c r="D292" s="197"/>
      <c r="E292" s="197"/>
      <c r="F292" s="197"/>
      <c r="G292" s="197"/>
      <c r="H292" s="197"/>
      <c r="I292" s="197"/>
      <c r="J292" s="197"/>
      <c r="K292" s="197"/>
      <c r="L292" s="197"/>
      <c r="P292" s="1166" t="s">
        <v>3926</v>
      </c>
      <c r="Q292" s="234"/>
    </row>
    <row r="293" spans="1:256" ht="11.45" customHeight="1">
      <c r="B293" s="192" t="s">
        <v>3058</v>
      </c>
      <c r="C293" s="263" t="s">
        <v>673</v>
      </c>
      <c r="D293" s="40"/>
      <c r="E293" s="40"/>
      <c r="F293" s="40"/>
      <c r="G293" s="40"/>
      <c r="H293" s="40"/>
      <c r="I293" s="40"/>
      <c r="J293" s="40"/>
      <c r="K293" s="40"/>
      <c r="L293" s="40"/>
      <c r="M293" s="40"/>
      <c r="N293" s="221"/>
    </row>
    <row r="294" spans="1:256" ht="33.6" customHeight="1">
      <c r="A294" s="194"/>
      <c r="C294" s="1038" t="s">
        <v>1080</v>
      </c>
      <c r="D294" s="1038"/>
      <c r="E294" s="1038"/>
      <c r="F294" s="1038"/>
      <c r="G294" s="1038"/>
      <c r="H294" s="1038"/>
      <c r="I294" s="1038"/>
      <c r="J294" s="1038"/>
      <c r="K294" s="1038"/>
      <c r="L294" s="1038"/>
      <c r="M294" s="1038"/>
      <c r="N294" s="1038"/>
      <c r="O294" s="221" t="s">
        <v>3058</v>
      </c>
      <c r="P294" s="1252" t="s">
        <v>3926</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3061</v>
      </c>
      <c r="C296" s="1037" t="s">
        <v>674</v>
      </c>
      <c r="D296" s="1037"/>
      <c r="E296" s="1037"/>
      <c r="F296" s="1037"/>
      <c r="G296" s="1037"/>
      <c r="H296" s="1037"/>
      <c r="I296" s="1037"/>
      <c r="J296" s="1037"/>
      <c r="K296" s="1037"/>
      <c r="L296" s="1037"/>
      <c r="M296" s="1037"/>
      <c r="O296" s="221" t="s">
        <v>3061</v>
      </c>
      <c r="P296" s="1166" t="s">
        <v>3926</v>
      </c>
      <c r="Q296" s="234"/>
    </row>
    <row r="297" spans="1:256" ht="24" customHeight="1">
      <c r="A297" s="194"/>
      <c r="C297" s="296" t="s">
        <v>2763</v>
      </c>
      <c r="D297" s="297" t="s">
        <v>1765</v>
      </c>
      <c r="E297" s="181"/>
      <c r="F297" s="181"/>
      <c r="G297" s="1253" t="s">
        <v>1770</v>
      </c>
      <c r="H297" s="1254"/>
      <c r="I297" s="1254"/>
      <c r="J297" s="1254"/>
      <c r="K297" s="1254"/>
      <c r="L297" s="1254"/>
      <c r="M297" s="1254"/>
      <c r="N297" s="1255"/>
      <c r="O297" s="301" t="s">
        <v>2763</v>
      </c>
      <c r="P297" s="1252" t="s">
        <v>3926</v>
      </c>
      <c r="Q297" s="353"/>
    </row>
    <row r="298" spans="1:256" ht="12.6" customHeight="1">
      <c r="A298" s="194"/>
      <c r="C298" s="296" t="s">
        <v>2764</v>
      </c>
      <c r="D298" s="297" t="s">
        <v>1767</v>
      </c>
      <c r="E298" s="181"/>
      <c r="F298" s="181"/>
      <c r="G298" s="1152" t="s">
        <v>2778</v>
      </c>
      <c r="H298" s="1256"/>
      <c r="I298" s="1256"/>
      <c r="J298" s="1256"/>
      <c r="K298" s="1256"/>
      <c r="L298" s="1256"/>
      <c r="M298" s="1256"/>
      <c r="N298" s="1257"/>
      <c r="O298" s="301" t="s">
        <v>2764</v>
      </c>
      <c r="P298" s="1183" t="s">
        <v>3926</v>
      </c>
      <c r="Q298" s="354"/>
    </row>
    <row r="299" spans="1:256" ht="12.6" customHeight="1">
      <c r="A299" s="194"/>
      <c r="C299" s="296"/>
      <c r="D299" s="298"/>
      <c r="E299" s="181"/>
      <c r="F299" s="181"/>
      <c r="G299" s="1258" t="s">
        <v>2779</v>
      </c>
      <c r="H299" s="1259"/>
      <c r="I299" s="1259"/>
      <c r="J299" s="1259"/>
      <c r="K299" s="1259"/>
      <c r="L299" s="1259"/>
      <c r="M299" s="1259"/>
      <c r="N299" s="1260"/>
      <c r="O299" s="301"/>
      <c r="P299" s="1184" t="s">
        <v>3926</v>
      </c>
      <c r="Q299" s="355"/>
    </row>
    <row r="300" spans="1:256" ht="24" customHeight="1">
      <c r="A300" s="194"/>
      <c r="C300" s="296" t="s">
        <v>2765</v>
      </c>
      <c r="D300" s="1024" t="s">
        <v>1766</v>
      </c>
      <c r="E300" s="1039"/>
      <c r="F300" s="1040"/>
      <c r="G300" s="1159" t="s">
        <v>3368</v>
      </c>
      <c r="H300" s="1261"/>
      <c r="I300" s="1261"/>
      <c r="J300" s="1261"/>
      <c r="K300" s="1261"/>
      <c r="L300" s="1261"/>
      <c r="M300" s="1261"/>
      <c r="N300" s="1262"/>
      <c r="O300" s="301" t="s">
        <v>2765</v>
      </c>
      <c r="P300" s="1252" t="s">
        <v>3926</v>
      </c>
      <c r="Q300" s="353"/>
    </row>
    <row r="301" spans="1:256" ht="12.6" customHeight="1">
      <c r="A301" s="194"/>
      <c r="C301" s="296" t="s">
        <v>3569</v>
      </c>
      <c r="D301" s="1024" t="s">
        <v>1768</v>
      </c>
      <c r="E301" s="1024"/>
      <c r="F301" s="1025"/>
      <c r="G301" s="1263" t="s">
        <v>226</v>
      </c>
      <c r="H301" s="1264"/>
      <c r="I301" s="1264"/>
      <c r="J301" s="1264"/>
      <c r="K301" s="1264"/>
      <c r="L301" s="1264"/>
      <c r="M301" s="1264"/>
      <c r="N301" s="1265"/>
      <c r="O301" s="301" t="s">
        <v>3569</v>
      </c>
      <c r="P301" s="1266" t="s">
        <v>3926</v>
      </c>
      <c r="Q301" s="356"/>
    </row>
    <row r="302" spans="1:256" ht="12.6" customHeight="1">
      <c r="A302" s="194"/>
      <c r="C302" s="296"/>
      <c r="D302" s="1024"/>
      <c r="E302" s="1024"/>
      <c r="F302" s="1025"/>
      <c r="G302" s="1155" t="s">
        <v>3213</v>
      </c>
      <c r="H302" s="1267"/>
      <c r="I302" s="1267"/>
      <c r="J302" s="1267"/>
      <c r="K302" s="1267"/>
      <c r="L302" s="1267"/>
      <c r="M302" s="1267"/>
      <c r="N302" s="1268"/>
      <c r="P302" s="1269" t="s">
        <v>3926</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2919</v>
      </c>
      <c r="D304" s="191"/>
      <c r="E304" s="191"/>
      <c r="F304" s="191"/>
      <c r="G304" s="191"/>
      <c r="H304" s="50"/>
      <c r="I304" s="179"/>
      <c r="J304" s="179"/>
      <c r="K304" s="179"/>
      <c r="L304" s="737"/>
      <c r="M304" s="737"/>
      <c r="N304" s="737"/>
      <c r="O304" s="737"/>
      <c r="P304" s="737"/>
      <c r="Q304" s="63"/>
    </row>
    <row r="305" spans="1:31" ht="48.75" customHeight="1">
      <c r="A305" s="1152" t="s">
        <v>4094</v>
      </c>
      <c r="B305" s="1153"/>
      <c r="C305" s="1153"/>
      <c r="D305" s="1153"/>
      <c r="E305" s="1153"/>
      <c r="F305" s="1153"/>
      <c r="G305" s="1153"/>
      <c r="H305" s="1153"/>
      <c r="I305" s="1153"/>
      <c r="J305" s="1153"/>
      <c r="K305" s="1153"/>
      <c r="L305" s="1153"/>
      <c r="M305" s="1153"/>
      <c r="N305" s="1153"/>
      <c r="O305" s="1153"/>
      <c r="P305" s="1153"/>
      <c r="Q305" s="1154"/>
      <c r="R305" s="1016" t="s">
        <v>1931</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3120</v>
      </c>
      <c r="C311" s="741"/>
      <c r="D311" s="740"/>
      <c r="E311" s="740"/>
      <c r="F311" s="740"/>
      <c r="G311" s="740"/>
      <c r="H311" s="740"/>
      <c r="O311" s="180" t="s">
        <v>2921</v>
      </c>
      <c r="P311" s="992"/>
      <c r="Q311" s="993"/>
    </row>
    <row r="312" spans="1:31" ht="3" customHeight="1"/>
    <row r="313" spans="1:31" ht="11.45" customHeight="1">
      <c r="B313" s="195" t="s">
        <v>3512</v>
      </c>
      <c r="P313" s="1166" t="s">
        <v>3926</v>
      </c>
      <c r="Q313" s="234"/>
    </row>
    <row r="314" spans="1:31" ht="11.45" customHeight="1">
      <c r="B314" s="195" t="s">
        <v>3513</v>
      </c>
      <c r="P314" s="1166" t="s">
        <v>3925</v>
      </c>
      <c r="Q314" s="234"/>
    </row>
    <row r="315" spans="1:31" ht="11.45" customHeight="1">
      <c r="B315" s="195" t="s">
        <v>923</v>
      </c>
      <c r="L315" s="1270" t="s">
        <v>4027</v>
      </c>
      <c r="M315" s="1271"/>
      <c r="N315" s="1271"/>
      <c r="O315" s="1272"/>
      <c r="P315" s="1166" t="s">
        <v>3926</v>
      </c>
      <c r="Q315" s="234"/>
    </row>
    <row r="316" spans="1:31" ht="11.45" customHeight="1">
      <c r="B316" s="690" t="s">
        <v>3514</v>
      </c>
      <c r="L316" s="1041"/>
      <c r="M316" s="1042"/>
      <c r="N316" s="1042"/>
      <c r="O316" s="1043"/>
    </row>
    <row r="317" spans="1:31" ht="4.1500000000000004" customHeight="1">
      <c r="A317" s="189"/>
      <c r="C317" s="190"/>
    </row>
    <row r="318" spans="1:31" ht="11.25" customHeight="1">
      <c r="B318" s="191" t="s">
        <v>2919</v>
      </c>
      <c r="D318" s="191"/>
      <c r="E318" s="191"/>
      <c r="F318" s="191"/>
      <c r="G318" s="191"/>
      <c r="H318" s="50"/>
      <c r="I318" s="179"/>
      <c r="J318" s="179"/>
      <c r="K318" s="179"/>
      <c r="L318" s="737"/>
      <c r="M318" s="737"/>
      <c r="N318" s="737"/>
      <c r="O318" s="737"/>
      <c r="P318" s="737"/>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998" t="s">
        <v>1931</v>
      </c>
      <c r="S319" s="998"/>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2921</v>
      </c>
      <c r="P327" s="992"/>
      <c r="Q327" s="993"/>
    </row>
    <row r="328" spans="1:31" ht="3" customHeight="1"/>
    <row r="329" spans="1:31" ht="22.15" customHeight="1">
      <c r="B329" s="192" t="s">
        <v>3058</v>
      </c>
      <c r="C329" s="994" t="s">
        <v>2542</v>
      </c>
      <c r="D329" s="994"/>
      <c r="E329" s="994"/>
      <c r="F329" s="994"/>
      <c r="G329" s="994"/>
      <c r="H329" s="994"/>
      <c r="I329" s="994"/>
      <c r="J329" s="994"/>
      <c r="K329" s="994"/>
      <c r="L329" s="994"/>
      <c r="M329" s="994"/>
      <c r="N329" s="994"/>
      <c r="O329" s="221" t="s">
        <v>3058</v>
      </c>
      <c r="P329" s="1166" t="s">
        <v>3926</v>
      </c>
      <c r="Q329" s="234"/>
    </row>
    <row r="330" spans="1:31" ht="11.45" customHeight="1">
      <c r="B330" s="192" t="s">
        <v>3061</v>
      </c>
      <c r="C330" s="994" t="s">
        <v>356</v>
      </c>
      <c r="D330" s="994"/>
      <c r="E330" s="994"/>
      <c r="F330" s="994"/>
      <c r="G330" s="994"/>
      <c r="H330" s="994"/>
      <c r="I330" s="994"/>
      <c r="J330" s="994"/>
      <c r="K330" s="994"/>
      <c r="L330" s="994"/>
      <c r="M330" s="740"/>
      <c r="O330" s="221" t="s">
        <v>3061</v>
      </c>
      <c r="P330" s="1166" t="s">
        <v>3925</v>
      </c>
      <c r="Q330" s="234"/>
    </row>
    <row r="331" spans="1:31" ht="11.45" customHeight="1">
      <c r="B331" s="192" t="s">
        <v>1237</v>
      </c>
      <c r="C331" s="197" t="s">
        <v>1964</v>
      </c>
      <c r="D331" s="197"/>
      <c r="E331" s="197"/>
      <c r="F331" s="197"/>
      <c r="G331" s="197"/>
      <c r="H331" s="197"/>
      <c r="I331" s="197"/>
      <c r="J331" s="197"/>
      <c r="K331" s="197"/>
      <c r="L331" s="197"/>
      <c r="M331" s="197"/>
      <c r="O331" s="221" t="s">
        <v>1237</v>
      </c>
      <c r="P331" s="1166" t="s">
        <v>3926</v>
      </c>
      <c r="Q331" s="234"/>
    </row>
    <row r="332" spans="1:31" ht="22.15" customHeight="1">
      <c r="B332" s="192" t="s">
        <v>3210</v>
      </c>
      <c r="C332" s="994" t="s">
        <v>1057</v>
      </c>
      <c r="D332" s="994"/>
      <c r="E332" s="994"/>
      <c r="F332" s="994"/>
      <c r="G332" s="994"/>
      <c r="H332" s="994"/>
      <c r="I332" s="994"/>
      <c r="J332" s="994"/>
      <c r="K332" s="994"/>
      <c r="L332" s="994"/>
      <c r="M332" s="994"/>
      <c r="N332" s="994"/>
      <c r="O332" s="221" t="s">
        <v>3210</v>
      </c>
      <c r="P332" s="1166" t="s">
        <v>3926</v>
      </c>
      <c r="Q332" s="234"/>
    </row>
    <row r="333" spans="1:31" ht="11.25" customHeight="1">
      <c r="B333" s="191" t="s">
        <v>2919</v>
      </c>
      <c r="D333" s="191"/>
      <c r="E333" s="191"/>
      <c r="F333" s="191"/>
      <c r="G333" s="191"/>
      <c r="H333" s="50"/>
      <c r="I333" s="179"/>
      <c r="J333" s="179"/>
      <c r="K333" s="179"/>
      <c r="L333" s="737"/>
      <c r="M333" s="737"/>
      <c r="N333" s="737"/>
      <c r="O333" s="737"/>
      <c r="P333" s="737"/>
      <c r="Q333" s="63"/>
    </row>
    <row r="334" spans="1:31" ht="36.75" customHeight="1">
      <c r="A334" s="1152" t="s">
        <v>4095</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1552</v>
      </c>
      <c r="C341" s="5"/>
      <c r="D341" s="5"/>
      <c r="E341" s="5"/>
      <c r="F341" s="5"/>
      <c r="G341" s="5"/>
      <c r="H341" s="740"/>
      <c r="I341" s="740"/>
      <c r="J341" s="740"/>
      <c r="K341" s="740"/>
      <c r="L341" s="740"/>
      <c r="M341" s="740"/>
      <c r="O341" s="180" t="s">
        <v>2921</v>
      </c>
      <c r="P341" s="992"/>
      <c r="Q341" s="993"/>
    </row>
    <row r="342" spans="1:31" ht="12" customHeight="1">
      <c r="B342" s="57" t="s">
        <v>3058</v>
      </c>
      <c r="C342" s="160" t="s">
        <v>2082</v>
      </c>
      <c r="D342" s="744"/>
      <c r="E342" s="744"/>
      <c r="F342" s="744"/>
      <c r="G342" s="744"/>
      <c r="H342" s="744"/>
      <c r="I342" s="52"/>
      <c r="J342" s="62" t="s">
        <v>3058</v>
      </c>
      <c r="K342" s="1224"/>
      <c r="L342" s="1225"/>
      <c r="M342" s="1225"/>
      <c r="N342" s="1225"/>
      <c r="O342" s="1226"/>
      <c r="P342" s="1166"/>
      <c r="Q342" s="234"/>
    </row>
    <row r="343" spans="1:31" ht="24" customHeight="1">
      <c r="B343" s="192" t="s">
        <v>3061</v>
      </c>
      <c r="C343" s="977" t="s">
        <v>2905</v>
      </c>
      <c r="D343" s="977"/>
      <c r="E343" s="977"/>
      <c r="F343" s="977"/>
      <c r="G343" s="977"/>
      <c r="H343" s="977"/>
      <c r="I343" s="977"/>
      <c r="J343" s="977"/>
      <c r="K343" s="977"/>
      <c r="L343" s="977"/>
      <c r="M343" s="977"/>
      <c r="O343" s="221" t="s">
        <v>3061</v>
      </c>
      <c r="P343" s="1252"/>
      <c r="Q343" s="234"/>
    </row>
    <row r="344" spans="1:31" ht="12" customHeight="1">
      <c r="B344" s="57" t="s">
        <v>1237</v>
      </c>
      <c r="C344" s="65" t="s">
        <v>1553</v>
      </c>
      <c r="D344" s="65"/>
      <c r="E344" s="65"/>
      <c r="F344" s="65"/>
      <c r="G344" s="65"/>
      <c r="H344" s="65"/>
      <c r="I344" s="65"/>
      <c r="J344" s="65"/>
      <c r="K344" s="65"/>
      <c r="L344" s="40"/>
      <c r="M344" s="40"/>
      <c r="O344" s="62" t="s">
        <v>1237</v>
      </c>
      <c r="P344" s="1166"/>
      <c r="Q344" s="234"/>
    </row>
    <row r="345" spans="1:31" ht="12" customHeight="1">
      <c r="B345" s="57" t="s">
        <v>3210</v>
      </c>
      <c r="C345" s="65" t="s">
        <v>355</v>
      </c>
      <c r="D345" s="65"/>
      <c r="E345" s="65"/>
      <c r="F345" s="65"/>
      <c r="G345" s="65"/>
      <c r="H345" s="65"/>
      <c r="I345" s="65"/>
      <c r="J345" s="65"/>
      <c r="K345" s="65"/>
      <c r="L345" s="65"/>
      <c r="M345" s="65"/>
      <c r="O345" s="62" t="s">
        <v>3210</v>
      </c>
      <c r="P345" s="1166"/>
      <c r="Q345" s="234"/>
    </row>
    <row r="346" spans="1:31" ht="22.9" customHeight="1">
      <c r="B346" s="192" t="s">
        <v>2761</v>
      </c>
      <c r="C346" s="994" t="s">
        <v>429</v>
      </c>
      <c r="D346" s="994"/>
      <c r="E346" s="994"/>
      <c r="F346" s="994"/>
      <c r="G346" s="994"/>
      <c r="H346" s="994"/>
      <c r="I346" s="994"/>
      <c r="J346" s="994"/>
      <c r="K346" s="994"/>
      <c r="L346" s="994"/>
      <c r="M346" s="994"/>
      <c r="N346" s="994"/>
      <c r="O346" s="221" t="s">
        <v>2761</v>
      </c>
      <c r="P346" s="1252"/>
      <c r="Q346" s="353"/>
    </row>
    <row r="347" spans="1:31" ht="12" customHeight="1">
      <c r="B347" s="57" t="s">
        <v>2762</v>
      </c>
      <c r="C347" s="65" t="s">
        <v>1984</v>
      </c>
      <c r="D347" s="65"/>
      <c r="E347" s="65"/>
      <c r="F347" s="65"/>
      <c r="G347" s="65"/>
      <c r="H347" s="65"/>
      <c r="I347" s="65"/>
      <c r="J347" s="65"/>
      <c r="K347" s="65"/>
      <c r="L347" s="65"/>
      <c r="M347" s="65"/>
      <c r="O347" s="62" t="s">
        <v>2762</v>
      </c>
      <c r="P347" s="1166"/>
      <c r="Q347" s="234"/>
    </row>
    <row r="348" spans="1:31" ht="11.25" customHeight="1">
      <c r="B348" s="191" t="s">
        <v>2919</v>
      </c>
      <c r="D348" s="191"/>
      <c r="E348" s="191"/>
      <c r="F348" s="191"/>
      <c r="G348" s="191"/>
      <c r="H348" s="50"/>
      <c r="I348" s="179"/>
      <c r="J348" s="179"/>
      <c r="K348" s="179"/>
      <c r="L348" s="737"/>
      <c r="M348" s="737"/>
      <c r="N348" s="737"/>
      <c r="O348" s="737"/>
      <c r="P348" s="737"/>
      <c r="Q348" s="63"/>
    </row>
    <row r="349" spans="1:31" ht="11.45" customHeight="1">
      <c r="A349" s="1159" t="s">
        <v>4028</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3753</v>
      </c>
      <c r="C353" s="5"/>
      <c r="D353" s="5"/>
      <c r="E353" s="5"/>
      <c r="F353" s="5"/>
      <c r="G353" s="5"/>
      <c r="H353" s="740"/>
      <c r="I353" s="740"/>
      <c r="J353" s="740"/>
      <c r="O353" s="180" t="s">
        <v>2921</v>
      </c>
      <c r="P353" s="992"/>
      <c r="Q353" s="993"/>
    </row>
    <row r="354" spans="1:31" ht="11.45" customHeight="1">
      <c r="B354" s="57" t="s">
        <v>3058</v>
      </c>
      <c r="C354" s="160" t="s">
        <v>1656</v>
      </c>
      <c r="D354" s="744"/>
      <c r="E354" s="744"/>
      <c r="F354" s="744"/>
      <c r="G354" s="744"/>
      <c r="H354" s="744"/>
      <c r="I354" s="52"/>
      <c r="J354" s="62" t="s">
        <v>3058</v>
      </c>
      <c r="K354" s="1224"/>
      <c r="L354" s="1225"/>
      <c r="M354" s="1225"/>
      <c r="N354" s="1225"/>
      <c r="O354" s="1226"/>
      <c r="P354" s="1166"/>
      <c r="Q354" s="234"/>
    </row>
    <row r="355" spans="1:31" ht="11.45" customHeight="1">
      <c r="B355" s="57" t="s">
        <v>3061</v>
      </c>
      <c r="C355" s="65" t="s">
        <v>2766</v>
      </c>
      <c r="D355" s="65"/>
      <c r="E355" s="65"/>
      <c r="F355" s="65"/>
      <c r="G355" s="65"/>
      <c r="H355" s="65"/>
      <c r="I355" s="65"/>
      <c r="J355" s="65"/>
      <c r="K355" s="65"/>
      <c r="L355" s="40"/>
      <c r="M355" s="40"/>
      <c r="O355" s="62" t="s">
        <v>3061</v>
      </c>
      <c r="P355" s="1166"/>
      <c r="Q355" s="234"/>
    </row>
    <row r="356" spans="1:31" ht="11.45" customHeight="1">
      <c r="B356" s="57" t="s">
        <v>1237</v>
      </c>
      <c r="C356" s="65" t="s">
        <v>2146</v>
      </c>
      <c r="D356" s="65"/>
      <c r="E356" s="65"/>
      <c r="F356" s="65"/>
      <c r="G356" s="65"/>
      <c r="H356" s="65"/>
      <c r="I356" s="65"/>
      <c r="J356" s="65"/>
      <c r="K356" s="65"/>
      <c r="L356" s="65"/>
      <c r="M356" s="65"/>
      <c r="O356" s="62" t="s">
        <v>1237</v>
      </c>
      <c r="P356" s="1166"/>
      <c r="Q356" s="234"/>
    </row>
    <row r="357" spans="1:31" ht="11.45" customHeight="1">
      <c r="B357" s="57" t="s">
        <v>3210</v>
      </c>
      <c r="C357" s="65" t="s">
        <v>3088</v>
      </c>
      <c r="D357" s="65"/>
      <c r="E357" s="65"/>
      <c r="F357" s="65"/>
      <c r="G357" s="65"/>
      <c r="H357" s="65"/>
      <c r="I357" s="65"/>
      <c r="J357" s="65"/>
      <c r="K357" s="65"/>
      <c r="L357" s="65"/>
      <c r="M357" s="65"/>
      <c r="O357" s="62" t="s">
        <v>3210</v>
      </c>
      <c r="P357" s="1166"/>
      <c r="Q357" s="234"/>
    </row>
    <row r="358" spans="1:31" ht="22.15" customHeight="1">
      <c r="B358" s="192" t="s">
        <v>2761</v>
      </c>
      <c r="C358" s="994" t="s">
        <v>635</v>
      </c>
      <c r="D358" s="994"/>
      <c r="E358" s="994"/>
      <c r="F358" s="994"/>
      <c r="G358" s="994"/>
      <c r="H358" s="994"/>
      <c r="I358" s="994"/>
      <c r="J358" s="994"/>
      <c r="K358" s="994"/>
      <c r="L358" s="994"/>
      <c r="M358" s="994"/>
      <c r="N358" s="994"/>
      <c r="O358" s="221" t="s">
        <v>2761</v>
      </c>
      <c r="P358" s="1166"/>
      <c r="Q358" s="234"/>
    </row>
    <row r="359" spans="1:31" ht="20.45" customHeight="1">
      <c r="B359" s="192" t="s">
        <v>2762</v>
      </c>
      <c r="C359" s="977" t="s">
        <v>230</v>
      </c>
      <c r="D359" s="977"/>
      <c r="E359" s="977"/>
      <c r="F359" s="977"/>
      <c r="G359" s="977"/>
      <c r="H359" s="977"/>
      <c r="I359" s="977"/>
      <c r="J359" s="977"/>
      <c r="K359" s="977"/>
      <c r="L359" s="977"/>
      <c r="M359" s="977"/>
      <c r="N359" s="977"/>
      <c r="O359" s="221" t="s">
        <v>2762</v>
      </c>
      <c r="P359" s="1252"/>
      <c r="Q359" s="234"/>
    </row>
    <row r="360" spans="1:31" ht="11.45" customHeight="1">
      <c r="B360" s="57" t="s">
        <v>3018</v>
      </c>
      <c r="C360" s="40" t="s">
        <v>850</v>
      </c>
      <c r="D360" s="204"/>
      <c r="E360" s="204"/>
      <c r="F360" s="204"/>
      <c r="G360" s="204"/>
      <c r="H360" s="204"/>
      <c r="I360" s="204"/>
      <c r="J360" s="204"/>
      <c r="K360" s="204"/>
      <c r="L360" s="204"/>
      <c r="M360" s="204"/>
      <c r="O360" s="62" t="s">
        <v>3018</v>
      </c>
      <c r="P360" s="1166"/>
      <c r="Q360" s="234"/>
    </row>
    <row r="361" spans="1:31" ht="11.25" customHeight="1">
      <c r="B361" s="191" t="s">
        <v>2919</v>
      </c>
      <c r="D361" s="191"/>
      <c r="E361" s="191"/>
      <c r="F361" s="191"/>
      <c r="G361" s="191"/>
      <c r="H361" s="50"/>
      <c r="I361" s="179"/>
      <c r="J361" s="179"/>
      <c r="K361" s="179"/>
      <c r="L361" s="737"/>
      <c r="M361" s="737"/>
      <c r="N361" s="737"/>
      <c r="O361" s="737"/>
      <c r="P361" s="737"/>
      <c r="Q361" s="63"/>
    </row>
    <row r="362" spans="1:31" ht="11.45" customHeight="1">
      <c r="A362" s="1159" t="s">
        <v>4029</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1081</v>
      </c>
      <c r="C366" s="5"/>
      <c r="D366" s="118"/>
      <c r="E366" s="740"/>
      <c r="F366" s="740"/>
      <c r="G366" s="740"/>
      <c r="H366" s="740"/>
      <c r="I366" s="740"/>
      <c r="J366" s="740"/>
      <c r="K366" s="740"/>
      <c r="L366" s="740"/>
      <c r="M366" s="740"/>
      <c r="O366" s="180" t="s">
        <v>2921</v>
      </c>
      <c r="P366" s="992"/>
      <c r="Q366" s="993"/>
    </row>
    <row r="367" spans="1:31" s="2" customFormat="1" ht="23.45" customHeight="1">
      <c r="B367" s="192" t="s">
        <v>3058</v>
      </c>
      <c r="C367" s="994" t="s">
        <v>201</v>
      </c>
      <c r="D367" s="994"/>
      <c r="E367" s="994"/>
      <c r="F367" s="994"/>
      <c r="G367" s="994"/>
      <c r="H367" s="994"/>
      <c r="I367" s="994"/>
      <c r="J367" s="994"/>
      <c r="K367" s="994"/>
      <c r="L367" s="994"/>
      <c r="M367" s="221" t="s">
        <v>3058</v>
      </c>
      <c r="N367" s="1273" t="s">
        <v>4031</v>
      </c>
      <c r="O367" s="1274"/>
      <c r="P367" s="1010" t="s">
        <v>2799</v>
      </c>
      <c r="Q367" s="1011"/>
    </row>
    <row r="368" spans="1:31" s="2" customFormat="1" ht="12" customHeight="1">
      <c r="B368" s="57" t="s">
        <v>3061</v>
      </c>
      <c r="C368" s="157" t="s">
        <v>2</v>
      </c>
      <c r="D368" s="204"/>
      <c r="E368" s="204"/>
      <c r="G368" s="62" t="s">
        <v>3061</v>
      </c>
      <c r="H368" s="1236" t="s">
        <v>4030</v>
      </c>
      <c r="I368" s="1237"/>
      <c r="J368" s="1237"/>
      <c r="K368" s="1237"/>
      <c r="L368" s="1237"/>
      <c r="M368" s="1237"/>
      <c r="N368" s="1237"/>
      <c r="O368" s="1238"/>
      <c r="P368" s="1166" t="s">
        <v>3926</v>
      </c>
      <c r="Q368" s="234"/>
    </row>
    <row r="369" spans="1:31" s="2" customFormat="1" ht="12" customHeight="1">
      <c r="B369" s="57" t="s">
        <v>1237</v>
      </c>
      <c r="C369" s="40" t="s">
        <v>2124</v>
      </c>
      <c r="D369" s="12"/>
      <c r="E369" s="12"/>
      <c r="F369" s="12"/>
      <c r="G369" s="8"/>
      <c r="H369" s="8"/>
      <c r="I369" s="40"/>
      <c r="K369" s="8"/>
      <c r="L369" s="8"/>
      <c r="M369" s="8"/>
      <c r="O369" s="62" t="s">
        <v>1237</v>
      </c>
      <c r="P369" s="1166" t="s">
        <v>3926</v>
      </c>
      <c r="Q369" s="234"/>
    </row>
    <row r="370" spans="1:31" ht="11.25" customHeight="1">
      <c r="B370" s="191" t="s">
        <v>2919</v>
      </c>
      <c r="D370" s="191"/>
      <c r="E370" s="191"/>
      <c r="F370" s="191"/>
      <c r="G370" s="191"/>
      <c r="H370" s="50"/>
      <c r="I370" s="179"/>
      <c r="J370" s="179"/>
      <c r="K370" s="179"/>
      <c r="L370" s="737"/>
      <c r="M370" s="737"/>
      <c r="N370" s="737"/>
      <c r="O370" s="737"/>
      <c r="P370" s="737"/>
      <c r="Q370" s="63"/>
    </row>
    <row r="371" spans="1:31" ht="11.45" customHeight="1">
      <c r="A371" s="1152" t="s">
        <v>4096</v>
      </c>
      <c r="B371" s="1153"/>
      <c r="C371" s="1153"/>
      <c r="D371" s="1153"/>
      <c r="E371" s="1153"/>
      <c r="F371" s="1153"/>
      <c r="G371" s="1153"/>
      <c r="H371" s="1153"/>
      <c r="I371" s="1153"/>
      <c r="J371" s="1153"/>
      <c r="K371" s="1153"/>
      <c r="L371" s="1153"/>
      <c r="M371" s="1153"/>
      <c r="N371" s="1153"/>
      <c r="O371" s="1153"/>
      <c r="P371" s="1153"/>
      <c r="Q371" s="1154"/>
      <c r="R371" s="998" t="s">
        <v>1931</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2528</v>
      </c>
      <c r="C378" s="5"/>
      <c r="D378" s="5"/>
      <c r="E378" s="740"/>
      <c r="F378" s="190" t="s">
        <v>1056</v>
      </c>
      <c r="G378" s="740"/>
      <c r="H378" s="740"/>
      <c r="I378" s="740"/>
      <c r="J378" s="740"/>
      <c r="K378" s="740"/>
      <c r="L378" s="740"/>
      <c r="M378" s="740"/>
      <c r="O378" s="180" t="s">
        <v>2921</v>
      </c>
      <c r="P378" s="992"/>
      <c r="Q378" s="1009"/>
    </row>
    <row r="379" spans="1:31" ht="12" customHeight="1">
      <c r="A379" s="194"/>
      <c r="B379" s="57" t="s">
        <v>3058</v>
      </c>
      <c r="C379" s="65" t="s">
        <v>2125</v>
      </c>
      <c r="D379" s="743"/>
      <c r="E379" s="743"/>
      <c r="H379" s="190"/>
      <c r="O379" s="62" t="s">
        <v>3058</v>
      </c>
      <c r="P379" s="1166" t="s">
        <v>3926</v>
      </c>
      <c r="Q379" s="234"/>
    </row>
    <row r="380" spans="1:31" ht="12" customHeight="1">
      <c r="A380" s="194"/>
      <c r="B380" s="57" t="s">
        <v>3061</v>
      </c>
      <c r="C380" s="65" t="s">
        <v>1240</v>
      </c>
      <c r="D380" s="743"/>
      <c r="E380" s="743"/>
      <c r="O380" s="62" t="s">
        <v>3061</v>
      </c>
      <c r="P380" s="1166"/>
      <c r="Q380" s="234"/>
    </row>
    <row r="381" spans="1:31" ht="12" customHeight="1">
      <c r="A381" s="194"/>
      <c r="B381" s="57" t="s">
        <v>1237</v>
      </c>
      <c r="C381" s="65" t="s">
        <v>1241</v>
      </c>
      <c r="D381" s="743"/>
      <c r="E381" s="743"/>
      <c r="O381" s="62" t="s">
        <v>1237</v>
      </c>
      <c r="P381" s="1166"/>
      <c r="Q381" s="234"/>
    </row>
    <row r="382" spans="1:31" ht="12" customHeight="1">
      <c r="A382" s="194"/>
      <c r="B382" s="57" t="s">
        <v>3210</v>
      </c>
      <c r="C382" s="65" t="s">
        <v>876</v>
      </c>
      <c r="E382" s="190"/>
      <c r="O382" s="62" t="s">
        <v>3210</v>
      </c>
      <c r="P382" s="1166"/>
      <c r="Q382" s="234"/>
    </row>
    <row r="383" spans="1:31" ht="12" customHeight="1">
      <c r="B383" s="57" t="s">
        <v>2761</v>
      </c>
      <c r="C383" s="65" t="s">
        <v>3173</v>
      </c>
      <c r="E383" s="190"/>
      <c r="G383" s="62" t="s">
        <v>2761</v>
      </c>
      <c r="H383" s="1236"/>
      <c r="I383" s="1237"/>
      <c r="J383" s="1237"/>
      <c r="K383" s="1237"/>
      <c r="L383" s="1237"/>
      <c r="M383" s="1237"/>
      <c r="N383" s="1237"/>
      <c r="O383" s="1238"/>
      <c r="P383" s="1166"/>
      <c r="Q383" s="234"/>
    </row>
    <row r="384" spans="1:31" ht="11.25" customHeight="1">
      <c r="B384" s="191" t="s">
        <v>2919</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3754</v>
      </c>
      <c r="C389" s="1012"/>
      <c r="D389" s="1012"/>
      <c r="E389" s="1012"/>
      <c r="F389" s="1012"/>
      <c r="G389" s="1012"/>
      <c r="H389" s="740"/>
      <c r="I389" s="740"/>
      <c r="J389" s="740"/>
      <c r="K389" s="740"/>
      <c r="L389" s="740"/>
      <c r="M389" s="740"/>
      <c r="O389" s="180" t="s">
        <v>2921</v>
      </c>
      <c r="P389" s="992"/>
      <c r="Q389" s="1009"/>
    </row>
    <row r="390" spans="1:31" ht="23.45" customHeight="1">
      <c r="A390" s="189"/>
      <c r="B390" s="192" t="s">
        <v>3058</v>
      </c>
      <c r="C390" s="994" t="s">
        <v>906</v>
      </c>
      <c r="D390" s="994"/>
      <c r="E390" s="994"/>
      <c r="F390" s="994"/>
      <c r="G390" s="994"/>
      <c r="H390" s="994"/>
      <c r="I390" s="994"/>
      <c r="J390" s="994"/>
      <c r="K390" s="994"/>
      <c r="L390" s="994"/>
      <c r="M390" s="994"/>
      <c r="N390" s="994"/>
      <c r="O390" s="221" t="s">
        <v>3058</v>
      </c>
      <c r="P390" s="1166" t="s">
        <v>4004</v>
      </c>
      <c r="Q390" s="234"/>
    </row>
    <row r="391" spans="1:31" ht="12" customHeight="1">
      <c r="A391" s="189"/>
      <c r="B391" s="57" t="s">
        <v>3061</v>
      </c>
      <c r="C391" s="197" t="s">
        <v>851</v>
      </c>
      <c r="D391" s="740"/>
      <c r="E391" s="740"/>
      <c r="F391" s="740"/>
      <c r="G391" s="740"/>
      <c r="H391" s="740"/>
      <c r="I391" s="740"/>
      <c r="J391" s="740"/>
      <c r="K391" s="740"/>
      <c r="L391" s="740"/>
      <c r="M391" s="740"/>
      <c r="O391" s="62" t="s">
        <v>3061</v>
      </c>
      <c r="P391" s="1166" t="s">
        <v>3926</v>
      </c>
      <c r="Q391" s="234"/>
    </row>
    <row r="392" spans="1:31" ht="11.25" customHeight="1">
      <c r="B392" s="131" t="s">
        <v>2919</v>
      </c>
      <c r="D392" s="131"/>
      <c r="E392" s="131"/>
      <c r="F392" s="131"/>
      <c r="G392" s="131"/>
      <c r="H392" s="50"/>
      <c r="I392" s="179"/>
      <c r="J392" s="179"/>
      <c r="K392" s="187" t="s">
        <v>2920</v>
      </c>
      <c r="L392" s="737"/>
      <c r="M392" s="737"/>
      <c r="N392" s="737"/>
      <c r="O392" s="237"/>
      <c r="P392" s="737"/>
      <c r="Q392" s="63"/>
    </row>
    <row r="393" spans="1:31" ht="11.45" customHeight="1">
      <c r="A393" s="1159" t="s">
        <v>4032</v>
      </c>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2003</v>
      </c>
      <c r="C395" s="1012"/>
      <c r="D395" s="1012"/>
      <c r="E395" s="1012"/>
      <c r="F395" s="1012"/>
      <c r="G395" s="1012"/>
      <c r="H395" s="740"/>
      <c r="I395" s="740"/>
      <c r="J395" s="740"/>
      <c r="K395" s="740"/>
      <c r="L395" s="740"/>
      <c r="M395" s="740"/>
      <c r="O395" s="180" t="s">
        <v>2921</v>
      </c>
      <c r="P395" s="992"/>
      <c r="Q395" s="1009"/>
    </row>
    <row r="396" spans="1:31" ht="12" customHeight="1">
      <c r="A396" s="52"/>
      <c r="B396" s="57" t="s">
        <v>3058</v>
      </c>
      <c r="C396" s="49" t="s">
        <v>1242</v>
      </c>
      <c r="D396" s="52"/>
      <c r="E396" s="52"/>
      <c r="F396" s="52"/>
      <c r="G396" s="52"/>
      <c r="H396" s="52"/>
      <c r="I396" s="52"/>
      <c r="J396" s="52"/>
      <c r="K396" s="52"/>
      <c r="L396" s="52"/>
      <c r="M396" s="52"/>
      <c r="N396" s="52"/>
      <c r="O396" s="62" t="s">
        <v>3058</v>
      </c>
      <c r="P396" s="1166" t="s">
        <v>3926</v>
      </c>
      <c r="Q396" s="234"/>
    </row>
    <row r="397" spans="1:31" ht="12" customHeight="1">
      <c r="A397" s="52"/>
      <c r="B397" s="57" t="s">
        <v>3061</v>
      </c>
      <c r="C397" s="49" t="s">
        <v>3312</v>
      </c>
      <c r="D397" s="52"/>
      <c r="E397" s="52"/>
      <c r="F397" s="52"/>
      <c r="G397" s="52"/>
      <c r="H397" s="52"/>
      <c r="I397" s="52"/>
      <c r="J397" s="52"/>
      <c r="K397" s="52"/>
      <c r="L397" s="52"/>
      <c r="M397" s="52"/>
      <c r="N397" s="52"/>
      <c r="O397" s="62" t="s">
        <v>2169</v>
      </c>
      <c r="P397" s="1166" t="s">
        <v>3925</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2764</v>
      </c>
      <c r="P399" s="1166" t="s">
        <v>3925</v>
      </c>
      <c r="Q399" s="234"/>
    </row>
    <row r="400" spans="1:31" ht="12" customHeight="1">
      <c r="A400" s="52"/>
      <c r="B400" s="57" t="s">
        <v>1237</v>
      </c>
      <c r="C400" s="977" t="s">
        <v>3311</v>
      </c>
      <c r="D400" s="977"/>
      <c r="E400" s="977"/>
      <c r="F400" s="977"/>
      <c r="G400" s="977"/>
      <c r="H400" s="977"/>
      <c r="I400" s="977"/>
      <c r="J400" s="977"/>
      <c r="K400" s="977"/>
      <c r="L400" s="977"/>
      <c r="M400" s="977"/>
      <c r="N400" s="977"/>
      <c r="O400" s="62" t="s">
        <v>1237</v>
      </c>
      <c r="P400" s="1166" t="s">
        <v>3925</v>
      </c>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2763</v>
      </c>
      <c r="P402" s="1275" t="s">
        <v>4033</v>
      </c>
      <c r="Q402" s="706" t="s">
        <v>311</v>
      </c>
    </row>
    <row r="403" spans="1:31" ht="12" customHeight="1">
      <c r="A403" s="52"/>
      <c r="B403" s="57"/>
      <c r="C403" s="183" t="s">
        <v>3315</v>
      </c>
      <c r="D403" s="52"/>
      <c r="E403" s="52"/>
      <c r="F403" s="40"/>
      <c r="G403" s="40"/>
      <c r="H403" s="52"/>
      <c r="K403" s="40"/>
      <c r="L403" s="40"/>
      <c r="M403" s="40"/>
      <c r="N403" s="52"/>
      <c r="O403" s="62" t="s">
        <v>2764</v>
      </c>
      <c r="P403" s="1275" t="s">
        <v>4033</v>
      </c>
      <c r="Q403" s="706"/>
    </row>
    <row r="404" spans="1:31" ht="12" customHeight="1">
      <c r="A404" s="52"/>
      <c r="B404" s="57"/>
      <c r="C404" s="183" t="s">
        <v>3316</v>
      </c>
      <c r="D404" s="52"/>
      <c r="E404" s="52"/>
      <c r="F404" s="40"/>
      <c r="G404" s="40"/>
      <c r="H404" s="52"/>
      <c r="K404" s="40"/>
      <c r="L404" s="40"/>
      <c r="M404" s="40"/>
      <c r="N404" s="52"/>
      <c r="O404" s="62" t="s">
        <v>2765</v>
      </c>
      <c r="P404" s="1275">
        <v>8</v>
      </c>
      <c r="Q404" s="706" t="s">
        <v>311</v>
      </c>
    </row>
    <row r="405" spans="1:31" ht="12" customHeight="1">
      <c r="A405" s="52"/>
      <c r="B405" s="57"/>
      <c r="C405" s="183" t="s">
        <v>3317</v>
      </c>
      <c r="D405" s="52"/>
      <c r="E405" s="52"/>
      <c r="F405" s="40"/>
      <c r="G405" s="40"/>
      <c r="H405" s="52"/>
      <c r="K405" s="40"/>
      <c r="L405" s="40"/>
      <c r="M405" s="40"/>
      <c r="N405" s="52"/>
      <c r="O405" s="62" t="s">
        <v>3569</v>
      </c>
      <c r="P405" s="1275">
        <v>1</v>
      </c>
      <c r="Q405" s="706" t="s">
        <v>311</v>
      </c>
    </row>
    <row r="406" spans="1:31" ht="12" customHeight="1">
      <c r="A406" s="52"/>
      <c r="B406" s="57"/>
      <c r="C406" s="183" t="s">
        <v>3318</v>
      </c>
      <c r="D406" s="52"/>
      <c r="E406" s="52"/>
      <c r="F406" s="40"/>
      <c r="G406" s="40"/>
      <c r="H406" s="52"/>
      <c r="K406" s="40"/>
      <c r="L406" s="40"/>
      <c r="M406" s="40"/>
      <c r="N406" s="52"/>
      <c r="O406" s="62" t="s">
        <v>2302</v>
      </c>
      <c r="P406" s="1275" t="s">
        <v>4033</v>
      </c>
      <c r="Q406" s="706" t="s">
        <v>311</v>
      </c>
    </row>
    <row r="407" spans="1:31" ht="12" customHeight="1">
      <c r="A407" s="52"/>
      <c r="B407" s="57" t="s">
        <v>2761</v>
      </c>
      <c r="C407" s="40" t="s">
        <v>3612</v>
      </c>
      <c r="D407" s="40"/>
      <c r="E407" s="40"/>
      <c r="F407" s="40"/>
      <c r="G407" s="40"/>
      <c r="J407" s="52"/>
      <c r="K407" s="40"/>
      <c r="L407" s="40"/>
      <c r="M407" s="40"/>
      <c r="N407" s="52"/>
      <c r="O407" s="62" t="s">
        <v>2761</v>
      </c>
      <c r="P407" s="62"/>
      <c r="Q407" s="62"/>
    </row>
    <row r="408" spans="1:31" ht="12" customHeight="1">
      <c r="A408" s="52"/>
      <c r="B408" s="57"/>
      <c r="C408" s="1276" t="s">
        <v>3319</v>
      </c>
      <c r="D408" s="40"/>
      <c r="E408" s="40"/>
      <c r="F408" s="40"/>
      <c r="G408" s="40"/>
      <c r="J408" s="52"/>
      <c r="K408" s="40"/>
      <c r="L408" s="40"/>
      <c r="M408" s="40"/>
      <c r="N408" s="52"/>
      <c r="O408" s="62" t="s">
        <v>2763</v>
      </c>
      <c r="P408" s="1166" t="s">
        <v>3925</v>
      </c>
      <c r="Q408" s="234"/>
    </row>
    <row r="409" spans="1:31" ht="12" customHeight="1">
      <c r="A409" s="52"/>
      <c r="B409" s="57"/>
      <c r="C409" s="1276" t="s">
        <v>1825</v>
      </c>
      <c r="D409" s="40"/>
      <c r="E409" s="40"/>
      <c r="F409" s="40"/>
      <c r="G409" s="40"/>
      <c r="N409" s="52"/>
      <c r="O409" s="62" t="s">
        <v>2764</v>
      </c>
      <c r="P409" s="1166" t="s">
        <v>3926</v>
      </c>
      <c r="Q409" s="234"/>
    </row>
    <row r="410" spans="1:31" ht="12" customHeight="1">
      <c r="A410" s="52"/>
      <c r="C410" s="1276" t="s">
        <v>1826</v>
      </c>
      <c r="D410" s="65"/>
      <c r="E410" s="65"/>
      <c r="F410" s="65"/>
      <c r="G410" s="65"/>
      <c r="J410" s="52"/>
      <c r="K410" s="65"/>
      <c r="L410" s="65"/>
      <c r="M410" s="65"/>
      <c r="N410" s="52"/>
      <c r="O410" s="62" t="s">
        <v>2765</v>
      </c>
      <c r="P410" s="1166" t="s">
        <v>3926</v>
      </c>
      <c r="Q410" s="234"/>
    </row>
    <row r="411" spans="1:31" ht="12" customHeight="1">
      <c r="A411" s="52"/>
      <c r="B411" s="57"/>
      <c r="C411" s="1276" t="s">
        <v>3382</v>
      </c>
      <c r="D411" s="65"/>
      <c r="E411" s="65"/>
      <c r="F411" s="65"/>
      <c r="G411" s="62" t="s">
        <v>3569</v>
      </c>
      <c r="H411" s="1277"/>
      <c r="I411" s="1278"/>
      <c r="J411" s="1278"/>
      <c r="K411" s="1278"/>
      <c r="L411" s="1278"/>
      <c r="M411" s="1278"/>
      <c r="N411" s="1278"/>
      <c r="O411" s="1242"/>
      <c r="P411" s="1166"/>
      <c r="Q411" s="234"/>
    </row>
    <row r="412" spans="1:31" ht="12" customHeight="1">
      <c r="B412" s="191" t="s">
        <v>2919</v>
      </c>
      <c r="D412" s="191"/>
      <c r="E412" s="191"/>
      <c r="F412" s="191"/>
      <c r="G412" s="191"/>
      <c r="H412" s="50"/>
      <c r="I412" s="179"/>
      <c r="J412" s="179"/>
      <c r="K412" s="179"/>
      <c r="L412" s="737"/>
      <c r="M412" s="737"/>
      <c r="N412" s="737"/>
      <c r="O412" s="737"/>
      <c r="P412" s="737"/>
      <c r="Q412" s="63"/>
    </row>
    <row r="413" spans="1:31" ht="47.25" customHeight="1">
      <c r="A413" s="1152" t="s">
        <v>4058</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3121</v>
      </c>
      <c r="C420" s="5"/>
      <c r="D420" s="118"/>
      <c r="E420" s="740"/>
      <c r="F420" s="740"/>
      <c r="G420" s="740"/>
      <c r="H420" s="740"/>
      <c r="O420" s="180" t="s">
        <v>2921</v>
      </c>
      <c r="P420" s="992"/>
      <c r="Q420" s="993"/>
    </row>
    <row r="421" spans="1:31" ht="13.15" customHeight="1">
      <c r="B421" s="57" t="s">
        <v>3058</v>
      </c>
      <c r="C421" s="49" t="s">
        <v>886</v>
      </c>
      <c r="D421" s="52"/>
      <c r="E421" s="52"/>
      <c r="F421" s="52"/>
      <c r="G421" s="52"/>
      <c r="H421" s="52"/>
      <c r="I421" s="52"/>
      <c r="J421" s="52"/>
      <c r="K421" s="52"/>
      <c r="L421" s="52"/>
      <c r="M421" s="52"/>
      <c r="O421" s="62" t="s">
        <v>3058</v>
      </c>
      <c r="P421" s="1166" t="s">
        <v>4004</v>
      </c>
      <c r="Q421" s="234"/>
    </row>
    <row r="422" spans="1:31" ht="13.15" customHeight="1">
      <c r="B422" s="57" t="s">
        <v>3061</v>
      </c>
      <c r="C422" s="49" t="s">
        <v>887</v>
      </c>
      <c r="D422" s="52"/>
      <c r="E422" s="52"/>
      <c r="F422" s="52"/>
      <c r="G422" s="52"/>
      <c r="H422" s="52"/>
      <c r="I422" s="52"/>
      <c r="J422" s="52"/>
      <c r="K422" s="52"/>
      <c r="L422" s="52"/>
      <c r="M422" s="52"/>
      <c r="O422" s="62" t="s">
        <v>3061</v>
      </c>
      <c r="P422" s="1166" t="s">
        <v>4004</v>
      </c>
      <c r="Q422" s="234"/>
    </row>
    <row r="423" spans="1:31" ht="24" customHeight="1">
      <c r="B423" s="192" t="s">
        <v>1237</v>
      </c>
      <c r="C423" s="1008" t="s">
        <v>888</v>
      </c>
      <c r="D423" s="1008"/>
      <c r="E423" s="1008"/>
      <c r="F423" s="1008"/>
      <c r="G423" s="1008"/>
      <c r="H423" s="1008"/>
      <c r="I423" s="1008"/>
      <c r="J423" s="1008"/>
      <c r="K423" s="1008"/>
      <c r="L423" s="1008"/>
      <c r="M423" s="1008"/>
      <c r="N423" s="1008"/>
      <c r="O423" s="221" t="s">
        <v>1237</v>
      </c>
      <c r="P423" s="1252" t="s">
        <v>4004</v>
      </c>
      <c r="Q423" s="353"/>
    </row>
    <row r="424" spans="1:31" ht="11.25" customHeight="1">
      <c r="B424" s="191" t="s">
        <v>2919</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998" t="s">
        <v>1931</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1353</v>
      </c>
      <c r="C433" s="5"/>
      <c r="D433" s="118"/>
      <c r="E433" s="740"/>
      <c r="F433" s="740"/>
      <c r="G433" s="740"/>
      <c r="H433" s="740"/>
      <c r="I433" s="740"/>
      <c r="J433" s="740"/>
      <c r="K433" s="740"/>
      <c r="L433" s="740"/>
      <c r="M433" s="740"/>
      <c r="O433" s="180" t="s">
        <v>2921</v>
      </c>
      <c r="P433" s="992"/>
      <c r="Q433" s="993"/>
    </row>
    <row r="434" spans="1:31" ht="11.25" customHeight="1">
      <c r="A434" s="741"/>
      <c r="B434" s="191" t="s">
        <v>2919</v>
      </c>
      <c r="D434" s="191"/>
      <c r="E434" s="191"/>
      <c r="F434" s="191"/>
      <c r="G434" s="191"/>
      <c r="H434" s="50"/>
      <c r="I434" s="179"/>
      <c r="J434" s="179"/>
      <c r="K434" s="179"/>
      <c r="L434" s="737"/>
      <c r="M434" s="737"/>
      <c r="N434" s="737"/>
      <c r="O434" s="737"/>
      <c r="P434" s="737"/>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998" t="s">
        <v>1931</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1237</v>
      </c>
      <c r="C445" s="1279" t="s">
        <v>794</v>
      </c>
      <c r="D445" s="1279"/>
      <c r="E445" s="1279"/>
      <c r="F445" s="1279"/>
      <c r="G445" s="1279"/>
      <c r="H445" s="1279"/>
      <c r="I445" s="1279"/>
      <c r="J445" s="1279"/>
      <c r="K445" s="1279"/>
      <c r="L445" s="1279"/>
      <c r="M445" s="1279"/>
      <c r="N445" s="1279"/>
      <c r="O445" s="1279" t="s">
        <v>1237</v>
      </c>
      <c r="P445" s="1279"/>
      <c r="Q445" s="1279"/>
    </row>
    <row r="446" spans="1:31" ht="12" customHeight="1">
      <c r="A446" s="1279"/>
      <c r="B446" s="1279"/>
      <c r="C446" s="1279" t="s">
        <v>2763</v>
      </c>
      <c r="D446" s="1279" t="s">
        <v>882</v>
      </c>
      <c r="E446" s="1279"/>
      <c r="F446" s="1279"/>
      <c r="G446" s="1279"/>
      <c r="H446" s="1279"/>
      <c r="I446" s="1279"/>
      <c r="J446" s="1279"/>
      <c r="K446" s="1279"/>
      <c r="L446" s="1279"/>
      <c r="M446" s="1279"/>
      <c r="N446" s="1279"/>
      <c r="O446" s="1279" t="s">
        <v>2763</v>
      </c>
      <c r="P446" s="1279"/>
      <c r="Q446" s="1279"/>
    </row>
    <row r="447" spans="1:31" ht="12" customHeight="1">
      <c r="A447" s="1279"/>
      <c r="B447" s="1279"/>
      <c r="C447" s="1279" t="s">
        <v>2764</v>
      </c>
      <c r="D447" s="1279" t="s">
        <v>0</v>
      </c>
      <c r="E447" s="1279"/>
      <c r="F447" s="1279"/>
      <c r="G447" s="1279"/>
      <c r="H447" s="1279"/>
      <c r="I447" s="1279"/>
      <c r="J447" s="1279"/>
      <c r="K447" s="1279"/>
      <c r="L447" s="1279"/>
      <c r="M447" s="1279"/>
      <c r="N447" s="1279"/>
      <c r="O447" s="1279" t="s">
        <v>2764</v>
      </c>
      <c r="P447" s="1279"/>
      <c r="Q447" s="1279"/>
    </row>
    <row r="448" spans="1:31" ht="12" customHeight="1">
      <c r="A448" s="1279"/>
      <c r="B448" s="1279"/>
      <c r="C448" s="1279" t="s">
        <v>2765</v>
      </c>
      <c r="D448" s="1279" t="s">
        <v>795</v>
      </c>
      <c r="E448" s="1279"/>
      <c r="F448" s="1279"/>
      <c r="G448" s="1279"/>
      <c r="H448" s="1279"/>
      <c r="I448" s="1279"/>
      <c r="J448" s="1279"/>
      <c r="K448" s="1279"/>
      <c r="L448" s="1279"/>
      <c r="M448" s="1279"/>
      <c r="N448" s="1279"/>
      <c r="O448" s="1279" t="s">
        <v>2765</v>
      </c>
      <c r="P448" s="1279"/>
      <c r="Q448" s="1279"/>
    </row>
    <row r="449" spans="1:19" ht="12" customHeight="1">
      <c r="A449" s="1279"/>
      <c r="B449" s="1279"/>
      <c r="C449" s="1279" t="s">
        <v>3569</v>
      </c>
      <c r="D449" s="1279" t="s">
        <v>796</v>
      </c>
      <c r="E449" s="1279"/>
      <c r="F449" s="1279"/>
      <c r="G449" s="1279"/>
      <c r="H449" s="1279"/>
      <c r="I449" s="1279"/>
      <c r="J449" s="1279"/>
      <c r="K449" s="1279"/>
      <c r="L449" s="1279"/>
      <c r="M449" s="1279"/>
      <c r="N449" s="1279"/>
      <c r="O449" s="1279" t="s">
        <v>3569</v>
      </c>
      <c r="P449" s="1279"/>
      <c r="Q449" s="1279"/>
    </row>
    <row r="450" spans="1:19" ht="12" customHeight="1">
      <c r="A450" s="1279"/>
      <c r="B450" s="1279"/>
      <c r="C450" s="1279" t="s">
        <v>2302</v>
      </c>
      <c r="D450" s="1279" t="s">
        <v>797</v>
      </c>
      <c r="E450" s="1279"/>
      <c r="F450" s="1279"/>
      <c r="G450" s="1279"/>
      <c r="H450" s="1279"/>
      <c r="I450" s="1279"/>
      <c r="J450" s="1279"/>
      <c r="K450" s="1279"/>
      <c r="L450" s="1279"/>
      <c r="M450" s="1279"/>
      <c r="N450" s="1279"/>
      <c r="O450" s="1279" t="s">
        <v>2302</v>
      </c>
      <c r="P450" s="1279"/>
      <c r="Q450" s="1279"/>
    </row>
    <row r="451" spans="1:19" ht="12" customHeight="1">
      <c r="A451" s="1279"/>
      <c r="B451" s="1279"/>
      <c r="C451" s="1279" t="s">
        <v>2303</v>
      </c>
      <c r="D451" s="1279" t="s">
        <v>2355</v>
      </c>
      <c r="E451" s="1279"/>
      <c r="F451" s="1279"/>
      <c r="G451" s="1279"/>
      <c r="H451" s="1279"/>
      <c r="I451" s="1279"/>
      <c r="J451" s="1279"/>
      <c r="K451" s="1279"/>
      <c r="L451" s="1279"/>
      <c r="M451" s="1279"/>
      <c r="N451" s="1279"/>
      <c r="O451" s="1279" t="s">
        <v>2303</v>
      </c>
      <c r="P451" s="1279"/>
      <c r="Q451" s="1279"/>
    </row>
    <row r="452" spans="1:19" ht="12" customHeight="1">
      <c r="A452" s="1279"/>
      <c r="B452" s="1279"/>
      <c r="C452" s="1279" t="s">
        <v>112</v>
      </c>
      <c r="D452" s="1279" t="s">
        <v>798</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788</v>
      </c>
      <c r="D453" s="1279" t="s">
        <v>799</v>
      </c>
      <c r="E453" s="1279"/>
      <c r="F453" s="1279"/>
      <c r="G453" s="1279"/>
      <c r="H453" s="1279"/>
      <c r="I453" s="1279"/>
      <c r="J453" s="1279"/>
      <c r="K453" s="1279"/>
      <c r="L453" s="1279"/>
      <c r="M453" s="1279"/>
      <c r="N453" s="1279"/>
      <c r="O453" s="1279" t="s">
        <v>788</v>
      </c>
      <c r="P453" s="1279"/>
      <c r="Q453" s="1279"/>
    </row>
    <row r="454" spans="1:19" ht="12" customHeight="1">
      <c r="A454" s="1279"/>
      <c r="B454" s="1279"/>
      <c r="C454" s="1279" t="s">
        <v>789</v>
      </c>
      <c r="D454" s="1279" t="s">
        <v>2647</v>
      </c>
      <c r="E454" s="1279"/>
      <c r="F454" s="1279"/>
      <c r="G454" s="1279"/>
      <c r="H454" s="1279"/>
      <c r="I454" s="1279"/>
      <c r="J454" s="1279"/>
      <c r="K454" s="1279"/>
      <c r="L454" s="1279"/>
      <c r="M454" s="1279"/>
      <c r="N454" s="1279"/>
      <c r="O454" s="1279" t="s">
        <v>789</v>
      </c>
      <c r="P454" s="1279"/>
      <c r="Q454" s="1279"/>
    </row>
    <row r="455" spans="1:19" ht="12" customHeight="1">
      <c r="A455" s="1279"/>
      <c r="B455" s="1279"/>
      <c r="C455" s="1279" t="s">
        <v>790</v>
      </c>
      <c r="D455" s="1279" t="s">
        <v>2971</v>
      </c>
      <c r="E455" s="1279"/>
      <c r="F455" s="1279"/>
      <c r="G455" s="1279"/>
      <c r="H455" s="1279"/>
      <c r="I455" s="1279"/>
      <c r="J455" s="1279"/>
      <c r="K455" s="1279"/>
      <c r="L455" s="1279"/>
      <c r="M455" s="1279"/>
      <c r="N455" s="1279"/>
      <c r="O455" s="1279" t="s">
        <v>2973</v>
      </c>
      <c r="P455" s="1279"/>
      <c r="Q455" s="1279"/>
    </row>
    <row r="456" spans="1:19" ht="12" customHeight="1">
      <c r="A456" s="1279"/>
      <c r="B456" s="1279"/>
      <c r="C456" s="1279" t="s">
        <v>790</v>
      </c>
      <c r="D456" s="1279" t="s">
        <v>2972</v>
      </c>
      <c r="E456" s="1279"/>
      <c r="F456" s="1279"/>
      <c r="G456" s="1279"/>
      <c r="H456" s="1279"/>
      <c r="I456" s="1279"/>
      <c r="J456" s="1279"/>
      <c r="K456" s="1279"/>
      <c r="L456" s="1279"/>
      <c r="M456" s="1279"/>
      <c r="N456" s="1279"/>
      <c r="O456" s="1279"/>
      <c r="P456" s="1279"/>
      <c r="Q456" s="1279"/>
    </row>
    <row r="457" spans="1:19" ht="12" customHeight="1">
      <c r="A457" s="1279"/>
      <c r="B457" s="1279"/>
      <c r="C457" s="1279" t="s">
        <v>791</v>
      </c>
      <c r="D457" s="1279" t="s">
        <v>2974</v>
      </c>
      <c r="E457" s="1279"/>
      <c r="F457" s="1279"/>
      <c r="G457" s="1279"/>
      <c r="H457" s="1279"/>
      <c r="I457" s="1279"/>
      <c r="J457" s="1279"/>
      <c r="K457" s="1279"/>
      <c r="L457" s="1279"/>
      <c r="M457" s="1279"/>
      <c r="N457" s="1279"/>
      <c r="O457" s="1279" t="s">
        <v>791</v>
      </c>
      <c r="P457" s="1279"/>
      <c r="Q457" s="1279"/>
    </row>
    <row r="458" spans="1:19" ht="12" customHeight="1">
      <c r="A458" s="1279"/>
      <c r="B458" s="1279"/>
      <c r="C458" s="1279" t="s">
        <v>792</v>
      </c>
      <c r="D458" s="1279" t="s">
        <v>2975</v>
      </c>
      <c r="E458" s="1279"/>
      <c r="F458" s="1279"/>
      <c r="G458" s="1279"/>
      <c r="H458" s="1279"/>
      <c r="I458" s="1279"/>
      <c r="J458" s="1279"/>
      <c r="K458" s="1279"/>
      <c r="L458" s="1279"/>
      <c r="M458" s="1279"/>
      <c r="N458" s="1279"/>
      <c r="O458" s="1279" t="s">
        <v>792</v>
      </c>
      <c r="P458" s="1279"/>
      <c r="Q458" s="1279"/>
    </row>
    <row r="459" spans="1:19" ht="12" customHeight="1">
      <c r="A459" s="1279"/>
      <c r="B459" s="1279"/>
      <c r="C459" s="1279" t="s">
        <v>793</v>
      </c>
      <c r="D459" s="1279" t="s">
        <v>2976</v>
      </c>
      <c r="E459" s="1279"/>
      <c r="F459" s="1279"/>
      <c r="G459" s="1279"/>
      <c r="H459" s="1279" t="s">
        <v>2799</v>
      </c>
      <c r="I459" s="1279"/>
      <c r="J459" s="1279"/>
      <c r="K459" s="1279"/>
      <c r="L459" s="1279"/>
      <c r="M459" s="1279"/>
      <c r="N459" s="1279"/>
      <c r="O459" s="1279" t="s">
        <v>793</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2799</v>
      </c>
      <c r="K463" s="166"/>
      <c r="L463" s="166"/>
      <c r="M463" s="166"/>
      <c r="N463" s="364"/>
      <c r="O463" s="363"/>
      <c r="P463" s="363"/>
      <c r="Q463" s="218"/>
      <c r="R463" s="218"/>
      <c r="S463" s="218"/>
    </row>
    <row r="464" spans="1:19" s="31" customFormat="1" ht="15">
      <c r="A464" s="218"/>
      <c r="B464" s="166"/>
      <c r="C464" s="113" t="s">
        <v>3841</v>
      </c>
      <c r="D464" s="113"/>
      <c r="E464" s="113"/>
      <c r="F464" s="113"/>
      <c r="G464" s="113"/>
      <c r="H464" s="113"/>
      <c r="I464" s="113"/>
      <c r="J464" s="358" t="s">
        <v>2749</v>
      </c>
      <c r="K464" s="209"/>
      <c r="L464" s="166"/>
      <c r="M464" s="166"/>
      <c r="N464" s="364"/>
      <c r="O464" s="363"/>
      <c r="P464" s="363"/>
      <c r="Q464" s="218"/>
      <c r="R464" s="218"/>
      <c r="S464" s="218"/>
    </row>
    <row r="465" spans="1:19" s="31" customFormat="1" ht="15">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3185</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5">
      <c r="A468" s="218"/>
      <c r="B468" s="166"/>
      <c r="C468" s="359" t="s">
        <v>3187</v>
      </c>
      <c r="D468" s="113"/>
      <c r="E468" s="113"/>
      <c r="F468" s="113"/>
      <c r="G468" s="113"/>
      <c r="H468" s="113"/>
      <c r="I468" s="113"/>
      <c r="J468" s="358" t="s">
        <v>2645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3199</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5">
      <c r="A473" s="218"/>
      <c r="B473" s="166"/>
      <c r="C473" s="361" t="s">
        <v>3228</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5">
      <c r="A476" s="218"/>
      <c r="B476" s="166"/>
      <c r="C476" s="360" t="s">
        <v>3223</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3224</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3225</v>
      </c>
      <c r="D478" s="166"/>
      <c r="E478" s="166"/>
      <c r="F478" s="166"/>
      <c r="G478" s="166"/>
      <c r="H478" s="166"/>
      <c r="I478" s="166"/>
      <c r="J478" s="358" t="s">
        <v>2750</v>
      </c>
      <c r="K478" s="166"/>
      <c r="L478" s="166"/>
      <c r="M478" s="166"/>
      <c r="N478" s="364"/>
      <c r="O478" s="363"/>
      <c r="P478" s="363"/>
      <c r="Q478" s="218"/>
      <c r="R478" s="218"/>
      <c r="S478" s="218"/>
    </row>
    <row r="479" spans="1:19" s="31" customFormat="1" ht="15">
      <c r="A479" s="218"/>
      <c r="B479" s="166"/>
      <c r="C479" s="360" t="s">
        <v>3226</v>
      </c>
      <c r="D479" s="166"/>
      <c r="E479" s="166"/>
      <c r="F479" s="166"/>
      <c r="G479" s="166"/>
      <c r="H479" s="166"/>
      <c r="I479" s="166"/>
      <c r="J479" s="358" t="s">
        <v>2644</v>
      </c>
      <c r="K479" s="166"/>
      <c r="L479" s="166"/>
      <c r="M479" s="166"/>
      <c r="N479" s="364"/>
      <c r="O479" s="363"/>
      <c r="P479" s="363"/>
      <c r="Q479" s="218"/>
      <c r="R479" s="218"/>
      <c r="S479" s="218"/>
    </row>
    <row r="480" spans="1:19" s="31" customFormat="1" ht="15">
      <c r="A480" s="218"/>
      <c r="B480" s="166"/>
      <c r="C480" s="360" t="s">
        <v>3227</v>
      </c>
      <c r="D480" s="166"/>
      <c r="E480" s="166"/>
      <c r="F480" s="166"/>
      <c r="G480" s="166"/>
      <c r="H480" s="166"/>
      <c r="I480" s="166"/>
      <c r="J480" s="358" t="s">
        <v>2636</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47" zoomScaleNormal="90" workbookViewId="0">
      <selection activeCell="A24" sqref="A24:E24"/>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2011-015 Briarcliff Summit Apartments , Atlanta, Fulton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56</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09" t="s">
        <v>3893</v>
      </c>
      <c r="G10" s="40">
        <f>F17</f>
        <v>0</v>
      </c>
      <c r="H10" s="246" t="s">
        <v>321</v>
      </c>
      <c r="M10" s="7">
        <v>7</v>
      </c>
      <c r="N10" s="82" t="s">
        <v>3058</v>
      </c>
      <c r="O10" s="1151">
        <v>0</v>
      </c>
      <c r="P10" s="69"/>
    </row>
    <row r="11" spans="1:19" s="52" customFormat="1" ht="11.25" customHeight="1">
      <c r="A11" s="257" t="s">
        <v>3061</v>
      </c>
      <c r="B11" s="238" t="s">
        <v>1214</v>
      </c>
      <c r="D11" s="58"/>
      <c r="E11" s="58"/>
      <c r="F11" s="709" t="s">
        <v>3893</v>
      </c>
      <c r="G11" s="40">
        <f>K17</f>
        <v>0</v>
      </c>
      <c r="H11" s="246" t="s">
        <v>322</v>
      </c>
      <c r="J11" s="59"/>
      <c r="M11" s="7">
        <v>0</v>
      </c>
      <c r="N11" s="82" t="s">
        <v>3061</v>
      </c>
      <c r="O11" s="1151">
        <v>0</v>
      </c>
      <c r="P11" s="69"/>
      <c r="Q11" s="146"/>
    </row>
    <row r="12" spans="1:19" s="53" customFormat="1" ht="11.25" customHeight="1">
      <c r="A12" s="257" t="s">
        <v>1237</v>
      </c>
      <c r="B12" s="238" t="s">
        <v>3208</v>
      </c>
      <c r="D12" s="58"/>
      <c r="E12" s="58"/>
      <c r="F12" s="709" t="s">
        <v>3893</v>
      </c>
      <c r="G12" s="40">
        <f>P17</f>
        <v>0</v>
      </c>
      <c r="H12" s="246" t="s">
        <v>323</v>
      </c>
      <c r="J12" s="59"/>
      <c r="M12" s="7">
        <v>1</v>
      </c>
      <c r="N12" s="82" t="s">
        <v>1237</v>
      </c>
      <c r="O12" s="1151">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8" t="s">
        <v>1931</v>
      </c>
      <c r="R14" s="998"/>
    </row>
    <row r="15" spans="1:19" s="52" customFormat="1" ht="25.5"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2920</v>
      </c>
      <c r="C16" s="129"/>
      <c r="D16" s="129"/>
      <c r="F16" s="179" t="s">
        <v>2738</v>
      </c>
      <c r="K16" s="179" t="s">
        <v>2738</v>
      </c>
      <c r="P16" s="62" t="s">
        <v>2738</v>
      </c>
      <c r="R16" s="217"/>
      <c r="S16" s="217"/>
    </row>
    <row r="17" spans="1:19" s="52" customFormat="1" ht="12" customHeight="1">
      <c r="A17" s="1064" t="s">
        <v>3637</v>
      </c>
      <c r="B17" s="1064"/>
      <c r="C17" s="1064"/>
      <c r="D17" s="1064"/>
      <c r="E17" s="83" t="s">
        <v>784</v>
      </c>
      <c r="F17" s="96">
        <f>SUM(F18:F29)</f>
        <v>0</v>
      </c>
      <c r="G17" s="1065" t="s">
        <v>3638</v>
      </c>
      <c r="H17" s="1064"/>
      <c r="I17" s="1064"/>
      <c r="J17" s="83" t="s">
        <v>784</v>
      </c>
      <c r="K17" s="96">
        <f>SUM(K18:K29)</f>
        <v>0</v>
      </c>
      <c r="L17" s="746" t="s">
        <v>2246</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1931</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3064</v>
      </c>
      <c r="B31" s="151" t="s">
        <v>1630</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1937</v>
      </c>
      <c r="E32" s="72"/>
      <c r="H32" s="588" t="s">
        <v>130</v>
      </c>
      <c r="J32" s="1158">
        <v>31</v>
      </c>
      <c r="L32" s="82" t="s">
        <v>1938</v>
      </c>
      <c r="M32" s="148">
        <f>IF(OR('Part VI-Revenues &amp; Expenses'!$M$61="", 'Part VI-Revenues &amp; Expenses'!$M$61=0),"",J32/'Part VI-Revenues &amp; Expenses'!$M$61)</f>
        <v>0.155</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51.75" customHeight="1">
      <c r="A34" s="1159" t="s">
        <v>4097</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3821</v>
      </c>
      <c r="B38" s="142" t="s">
        <v>2928</v>
      </c>
      <c r="D38" s="51"/>
      <c r="H38" s="246" t="s">
        <v>925</v>
      </c>
      <c r="I38" s="49"/>
      <c r="J38" s="58"/>
      <c r="K38" s="46"/>
      <c r="M38" s="3">
        <v>12</v>
      </c>
      <c r="N38" s="62"/>
      <c r="O38" s="205">
        <f>IF(AND(O41&gt;=$M41,O43=0),O40+O42,O40)</f>
        <v>9</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9</v>
      </c>
      <c r="P40" s="205">
        <f>IF(MIN($M40,(P41-P43)) &lt; 0, 0, IF(P41-P43 &gt;$M40, $M40, IF(AND(P41&gt;$M40,P41-P43&lt;$M40),$M41-P43, IF(AND(P41&lt;=$M40,P41-P43&lt;$M40),P41-P43, IF(AND(P41=$M40,P41-P43=$M40),$M41,0)))))</f>
        <v>0</v>
      </c>
      <c r="Q40" s="263" t="s">
        <v>924</v>
      </c>
      <c r="R40" s="573"/>
    </row>
    <row r="41" spans="1:18" s="53" customFormat="1" ht="12" customHeight="1">
      <c r="A41" s="189" t="s">
        <v>3058</v>
      </c>
      <c r="B41" s="238" t="s">
        <v>2930</v>
      </c>
      <c r="C41" s="5"/>
      <c r="D41" s="5"/>
      <c r="E41" s="246" t="s">
        <v>2933</v>
      </c>
      <c r="F41" s="461"/>
      <c r="G41" s="246" t="s">
        <v>2929</v>
      </c>
      <c r="I41" s="49"/>
      <c r="K41" s="58"/>
      <c r="L41" s="1158"/>
      <c r="M41" s="3">
        <v>10</v>
      </c>
      <c r="N41" s="252" t="s">
        <v>3058</v>
      </c>
      <c r="O41" s="1162">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1162">
        <v>0</v>
      </c>
      <c r="P42" s="89"/>
      <c r="R42" s="573"/>
    </row>
    <row r="43" spans="1:18" s="53" customFormat="1" ht="12.6" customHeight="1">
      <c r="A43" s="189" t="s">
        <v>1237</v>
      </c>
      <c r="B43" s="238" t="s">
        <v>2932</v>
      </c>
      <c r="D43" s="51"/>
      <c r="E43" s="246" t="s">
        <v>624</v>
      </c>
      <c r="F43" s="599"/>
      <c r="G43" s="246" t="s">
        <v>625</v>
      </c>
      <c r="L43" s="1158"/>
      <c r="M43" s="7" t="s">
        <v>1899</v>
      </c>
      <c r="N43" s="252" t="s">
        <v>1237</v>
      </c>
      <c r="O43" s="1151">
        <v>1</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55.5" customHeight="1">
      <c r="A46" s="1152" t="s">
        <v>4098</v>
      </c>
      <c r="B46" s="1153"/>
      <c r="C46" s="1153"/>
      <c r="D46" s="1153"/>
      <c r="E46" s="1153"/>
      <c r="F46" s="1153"/>
      <c r="G46" s="1153"/>
      <c r="H46" s="1153"/>
      <c r="I46" s="1153"/>
      <c r="J46" s="1153"/>
      <c r="K46" s="1153"/>
      <c r="L46" s="1153"/>
      <c r="M46" s="1153"/>
      <c r="N46" s="1153"/>
      <c r="O46" s="1153"/>
      <c r="P46" s="1154"/>
      <c r="Q46" s="998" t="s">
        <v>1931</v>
      </c>
      <c r="R46" s="998"/>
    </row>
    <row r="47" spans="1:18" s="53" customFormat="1" ht="23.4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2920</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1931</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1884</v>
      </c>
      <c r="B55" s="142" t="s">
        <v>1939</v>
      </c>
      <c r="D55" s="51"/>
      <c r="H55" s="59" t="s">
        <v>2939</v>
      </c>
      <c r="I55" s="49"/>
      <c r="J55" s="58"/>
      <c r="K55" s="58"/>
      <c r="M55" s="3">
        <v>2</v>
      </c>
      <c r="N55" s="62"/>
      <c r="O55" s="205">
        <f>MIN($M55,(O56+O57))</f>
        <v>1</v>
      </c>
      <c r="P55" s="205">
        <f>MIN($M55,(P56+P57))</f>
        <v>0</v>
      </c>
      <c r="Q55" s="146" t="s">
        <v>651</v>
      </c>
    </row>
    <row r="56" spans="1:18" s="53" customFormat="1" ht="12" customHeight="1">
      <c r="A56" s="189" t="s">
        <v>3058</v>
      </c>
      <c r="B56" s="238" t="s">
        <v>1708</v>
      </c>
      <c r="C56" s="5"/>
      <c r="D56" s="5"/>
      <c r="E56" s="46"/>
      <c r="F56" s="5"/>
      <c r="G56" s="49"/>
      <c r="I56" s="49"/>
      <c r="K56" s="58"/>
      <c r="L56" s="573" t="str">
        <f>IF(OR($O56=$M56,$O56=0,$O56=""),"","* * Check Score! * *")</f>
        <v/>
      </c>
      <c r="M56" s="3">
        <v>2</v>
      </c>
      <c r="N56" s="252" t="s">
        <v>3058</v>
      </c>
      <c r="O56" s="1162"/>
      <c r="P56" s="89"/>
      <c r="R56" s="573"/>
    </row>
    <row r="57" spans="1:18" s="53" customFormat="1" ht="12.6" customHeight="1">
      <c r="A57" s="189" t="s">
        <v>3061</v>
      </c>
      <c r="B57" s="238" t="s">
        <v>1709</v>
      </c>
      <c r="E57" s="51"/>
      <c r="K57" s="58"/>
      <c r="L57" s="573" t="str">
        <f>IF(OR($O57=$M57,$O57=0,$O57=""),"","* * Check Score! * *")</f>
        <v/>
      </c>
      <c r="M57" s="3">
        <v>1</v>
      </c>
      <c r="N57" s="62" t="s">
        <v>3061</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4034</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2920</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1885</v>
      </c>
      <c r="B64" s="142" t="s">
        <v>3702</v>
      </c>
      <c r="D64" s="51"/>
      <c r="E64" s="600" t="s">
        <v>3704</v>
      </c>
      <c r="I64" s="59" t="s">
        <v>2939</v>
      </c>
      <c r="M64" s="3">
        <v>1</v>
      </c>
      <c r="N64" s="616" t="str">
        <f>IF(OR($O64=$M64,$O64=0,$O64=""),"","***")</f>
        <v/>
      </c>
      <c r="O64" s="1162"/>
      <c r="P64" s="89"/>
      <c r="Q64" s="146" t="s">
        <v>651</v>
      </c>
    </row>
    <row r="65" spans="1:17" s="53" customFormat="1" ht="12.6" customHeight="1">
      <c r="A65" s="210"/>
      <c r="B65" s="600" t="s">
        <v>1210</v>
      </c>
      <c r="D65" s="51"/>
      <c r="H65" s="59"/>
      <c r="I65" s="59"/>
      <c r="J65" s="59"/>
      <c r="K65" s="59"/>
      <c r="L65" s="59"/>
      <c r="M65" s="3"/>
      <c r="N65" s="616"/>
      <c r="O65" s="1166"/>
      <c r="P65" s="234"/>
      <c r="Q65" s="146"/>
    </row>
    <row r="66" spans="1:17" s="53" customFormat="1" ht="12.6" customHeight="1">
      <c r="A66" s="210"/>
      <c r="B66" s="600" t="s">
        <v>1209</v>
      </c>
      <c r="D66" s="51"/>
      <c r="H66" s="59"/>
      <c r="I66" s="1167"/>
      <c r="J66" s="1168"/>
      <c r="K66" s="1168"/>
      <c r="L66" s="1169"/>
      <c r="M66" s="3"/>
      <c r="N66" s="616"/>
      <c r="O66" s="616"/>
      <c r="P66" s="616"/>
      <c r="Q66" s="146"/>
    </row>
    <row r="67" spans="1:17" s="53" customFormat="1" ht="12.6" customHeight="1">
      <c r="A67" s="210"/>
      <c r="B67" s="600" t="s">
        <v>1211</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2920</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2089</v>
      </c>
      <c r="I74" s="59" t="s">
        <v>2939</v>
      </c>
      <c r="M74" s="3">
        <v>2</v>
      </c>
      <c r="N74" s="62"/>
      <c r="O74" s="1162"/>
      <c r="P74" s="89"/>
      <c r="Q74" s="146" t="s">
        <v>651</v>
      </c>
    </row>
    <row r="75" spans="1:17" s="53" customFormat="1" ht="12.6" customHeight="1">
      <c r="A75" s="210"/>
      <c r="B75" s="600" t="s">
        <v>1212</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2920</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742</v>
      </c>
      <c r="B82" s="143" t="s">
        <v>277</v>
      </c>
      <c r="D82" s="49"/>
      <c r="E82" s="46"/>
      <c r="F82" s="246" t="s">
        <v>626</v>
      </c>
      <c r="I82" s="1170" t="s">
        <v>4035</v>
      </c>
      <c r="J82" s="1171"/>
      <c r="K82" s="1171"/>
      <c r="L82" s="1172"/>
      <c r="M82" s="3">
        <v>3</v>
      </c>
      <c r="O82" s="96">
        <f>IF(OR(I82="Earth Craft Communities",I82="LEED-ND"),3,IF(OR(I82="Earth Craft House",I82="LEED for Homes",I82="EF Green Communities"),2,0))</f>
        <v>2</v>
      </c>
      <c r="P82" s="89"/>
      <c r="Q82" s="146" t="s">
        <v>651</v>
      </c>
    </row>
    <row r="83" spans="1:18" s="139" customFormat="1" ht="13.9" customHeight="1">
      <c r="A83" s="52"/>
      <c r="B83" s="1173" t="s">
        <v>2657</v>
      </c>
      <c r="C83" s="1070"/>
      <c r="D83" s="1070"/>
      <c r="E83" s="1070"/>
      <c r="F83" s="1070"/>
      <c r="G83" s="1070"/>
      <c r="H83" s="1070"/>
      <c r="I83" s="1070"/>
      <c r="J83" s="1070"/>
      <c r="K83" s="1070"/>
      <c r="L83" s="1070"/>
      <c r="M83" s="1070"/>
      <c r="N83" s="1"/>
      <c r="O83" s="1174" t="s">
        <v>3926</v>
      </c>
      <c r="P83" s="551"/>
    </row>
    <row r="84" spans="1:18" s="598" customFormat="1" ht="34.9" customHeight="1">
      <c r="B84" s="194" t="s">
        <v>3058</v>
      </c>
      <c r="C84" s="1077" t="s">
        <v>1568</v>
      </c>
      <c r="D84" s="1039"/>
      <c r="E84" s="1039"/>
      <c r="F84" s="1039"/>
      <c r="G84" s="1039"/>
      <c r="H84" s="1039"/>
      <c r="I84" s="1039"/>
      <c r="J84" s="1039"/>
      <c r="K84" s="1039"/>
      <c r="L84" s="1039"/>
      <c r="M84" s="698" t="str">
        <f>IF(AND($I$93="Stable Communities &lt; 10%",O84=""), "X","")</f>
        <v/>
      </c>
      <c r="N84" s="221" t="s">
        <v>3058</v>
      </c>
      <c r="O84" s="1175" t="s">
        <v>4004</v>
      </c>
      <c r="P84" s="703"/>
    </row>
    <row r="85" spans="1:18" s="598" customFormat="1" ht="34.9" customHeight="1">
      <c r="B85" s="194" t="s">
        <v>3061</v>
      </c>
      <c r="C85" s="994" t="s">
        <v>1569</v>
      </c>
      <c r="D85" s="1039"/>
      <c r="E85" s="1039"/>
      <c r="F85" s="1039"/>
      <c r="G85" s="1039"/>
      <c r="H85" s="1039"/>
      <c r="I85" s="1039"/>
      <c r="J85" s="1039"/>
      <c r="K85" s="1039"/>
      <c r="L85" s="1039"/>
      <c r="M85" s="698" t="str">
        <f>IF(AND($I$93="Stable Communities &lt; 10%",O85=""), "X","")</f>
        <v/>
      </c>
      <c r="N85" s="221" t="s">
        <v>3061</v>
      </c>
      <c r="O85" s="1176" t="s">
        <v>4004</v>
      </c>
      <c r="P85" s="704"/>
    </row>
    <row r="86" spans="1:18" s="139" customFormat="1" ht="11.45" customHeight="1">
      <c r="A86" s="52"/>
      <c r="B86" s="59" t="s">
        <v>333</v>
      </c>
      <c r="C86" s="52"/>
      <c r="D86" s="58"/>
      <c r="E86" s="58"/>
      <c r="F86" s="58"/>
      <c r="G86" s="58"/>
      <c r="K86" s="46"/>
      <c r="M86" s="56"/>
      <c r="N86" s="7"/>
      <c r="O86" s="4"/>
      <c r="P86" s="3"/>
    </row>
    <row r="87" spans="1:18" s="53" customFormat="1" ht="28.5" customHeight="1">
      <c r="A87" s="1177" t="s">
        <v>4036</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3639</v>
      </c>
      <c r="C93" s="126"/>
      <c r="D93" s="74"/>
      <c r="E93" s="74"/>
      <c r="I93" s="1170" t="s">
        <v>4037</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3058</v>
      </c>
      <c r="B95" s="256" t="s">
        <v>3792</v>
      </c>
      <c r="D95" s="42"/>
      <c r="H95" s="76"/>
      <c r="I95" s="42"/>
      <c r="J95" s="42"/>
      <c r="M95" s="156">
        <v>4</v>
      </c>
      <c r="N95" s="31"/>
      <c r="O95" s="31"/>
      <c r="P95" s="31"/>
    </row>
    <row r="96" spans="1:18" ht="11.45" customHeight="1">
      <c r="A96" s="564" t="str">
        <f>IF($I$93="Stable Communities &lt; 10%", "X","")</f>
        <v/>
      </c>
      <c r="B96" s="565" t="s">
        <v>3062</v>
      </c>
      <c r="C96" s="235" t="s">
        <v>866</v>
      </c>
      <c r="E96" s="159"/>
      <c r="N96" s="31"/>
      <c r="O96" s="161" t="s">
        <v>3793</v>
      </c>
      <c r="P96" s="161" t="s">
        <v>3793</v>
      </c>
    </row>
    <row r="97" spans="1:16" ht="11.45" customHeight="1">
      <c r="B97" s="233" t="s">
        <v>3680</v>
      </c>
      <c r="C97" s="584" t="s">
        <v>3620</v>
      </c>
      <c r="E97" s="159"/>
      <c r="G97" s="137" t="s">
        <v>3621</v>
      </c>
      <c r="M97" s="590" t="str">
        <f>IF(AND($I$93="Stable Communities &lt; 10%",O97=""), "X","")</f>
        <v/>
      </c>
      <c r="N97" s="233" t="s">
        <v>3680</v>
      </c>
      <c r="O97" s="1183"/>
      <c r="P97" s="354"/>
    </row>
    <row r="98" spans="1:16" ht="11.45" customHeight="1">
      <c r="B98" s="233" t="s">
        <v>3681</v>
      </c>
      <c r="C98" s="585" t="s">
        <v>3622</v>
      </c>
      <c r="E98" s="159"/>
      <c r="G98" s="137" t="s">
        <v>3623</v>
      </c>
      <c r="M98" s="590" t="str">
        <f>IF(AND($I$93="Stable Communities &lt; 10%",O98=""), "X","")</f>
        <v/>
      </c>
      <c r="N98" s="233" t="s">
        <v>3681</v>
      </c>
      <c r="O98" s="1174"/>
      <c r="P98" s="551"/>
    </row>
    <row r="99" spans="1:16" ht="11.45" customHeight="1">
      <c r="B99" s="233" t="s">
        <v>3682</v>
      </c>
      <c r="C99" s="585" t="s">
        <v>2189</v>
      </c>
      <c r="E99" s="159"/>
      <c r="M99" s="590" t="str">
        <f>IF(AND($I$93="Stable Communities &lt; 10%",O99=""), "X","")</f>
        <v/>
      </c>
      <c r="N99" s="233" t="s">
        <v>3684</v>
      </c>
      <c r="O99" s="1184"/>
      <c r="P99" s="355"/>
    </row>
    <row r="100" spans="1:16" ht="11.45" customHeight="1">
      <c r="A100" s="564" t="str">
        <f>IF($I$93="Stable Communities &lt; 20%", "X","")</f>
        <v>X</v>
      </c>
      <c r="B100" s="565" t="s">
        <v>3064</v>
      </c>
      <c r="C100" s="235" t="s">
        <v>866</v>
      </c>
      <c r="E100" s="159"/>
      <c r="M100" s="591"/>
      <c r="N100" s="31"/>
      <c r="O100" s="161" t="s">
        <v>3793</v>
      </c>
      <c r="P100" s="161" t="s">
        <v>3793</v>
      </c>
    </row>
    <row r="101" spans="1:16" ht="11.45" customHeight="1">
      <c r="B101" s="233" t="s">
        <v>3680</v>
      </c>
      <c r="C101" s="584" t="s">
        <v>3705</v>
      </c>
      <c r="E101" s="159"/>
      <c r="G101" s="137" t="s">
        <v>3624</v>
      </c>
      <c r="M101" s="590" t="str">
        <f>IF(AND($I$93="Stable Communities &lt; 20%",O101=""), "X","")</f>
        <v/>
      </c>
      <c r="N101" s="233" t="s">
        <v>3680</v>
      </c>
      <c r="O101" s="1183" t="s">
        <v>3926</v>
      </c>
      <c r="P101" s="354"/>
    </row>
    <row r="102" spans="1:16" ht="11.45" customHeight="1">
      <c r="B102" s="233" t="s">
        <v>3681</v>
      </c>
      <c r="C102" s="585" t="s">
        <v>3622</v>
      </c>
      <c r="E102" s="159"/>
      <c r="G102" s="137" t="s">
        <v>3623</v>
      </c>
      <c r="M102" s="590" t="str">
        <f>IF(AND($I$93="Stable Communities &lt; 20%",O102=""), "X","")</f>
        <v/>
      </c>
      <c r="N102" s="233" t="s">
        <v>3681</v>
      </c>
      <c r="O102" s="1174" t="s">
        <v>3926</v>
      </c>
      <c r="P102" s="551"/>
    </row>
    <row r="103" spans="1:16" ht="11.45" customHeight="1">
      <c r="B103" s="233" t="s">
        <v>3682</v>
      </c>
      <c r="C103" s="585" t="s">
        <v>2189</v>
      </c>
      <c r="E103" s="159"/>
      <c r="M103" s="590" t="str">
        <f>IF(AND($I$93="Stable Communities &lt; 20%",O103=""), "X","")</f>
        <v/>
      </c>
      <c r="N103" s="233" t="s">
        <v>3684</v>
      </c>
      <c r="O103" s="1184" t="s">
        <v>3926</v>
      </c>
      <c r="P103" s="355"/>
    </row>
    <row r="104" spans="1:16" ht="11.45" customHeight="1">
      <c r="A104" s="189" t="s">
        <v>3061</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 customHeight="1">
      <c r="B106" s="566" t="s">
        <v>3680</v>
      </c>
      <c r="C106" s="567" t="s">
        <v>912</v>
      </c>
      <c r="D106" s="137"/>
      <c r="M106" s="589" t="str">
        <f>IF(AND($I$93="HOPE VI Initiative",O106=""), "X","")</f>
        <v/>
      </c>
      <c r="N106" s="233" t="s">
        <v>3680</v>
      </c>
      <c r="O106" s="1183"/>
      <c r="P106" s="354"/>
    </row>
    <row r="107" spans="1:16" ht="10.9" customHeight="1">
      <c r="B107" s="566" t="s">
        <v>3681</v>
      </c>
      <c r="C107" s="567" t="s">
        <v>913</v>
      </c>
      <c r="M107" s="589" t="str">
        <f>IF(AND($I$93="HOPE VI Initiative",O107=""), "X","")</f>
        <v/>
      </c>
      <c r="N107" s="233" t="s">
        <v>3681</v>
      </c>
      <c r="O107" s="1174"/>
      <c r="P107" s="551"/>
    </row>
    <row r="108" spans="1:16" ht="10.9" customHeight="1">
      <c r="B108" s="566" t="s">
        <v>3682</v>
      </c>
      <c r="C108" s="567" t="s">
        <v>914</v>
      </c>
      <c r="M108" s="589" t="str">
        <f>IF(AND($I$93="HOPE VI Initiative",O108=""), "X","")</f>
        <v/>
      </c>
      <c r="N108" s="233" t="s">
        <v>3682</v>
      </c>
      <c r="O108" s="1174"/>
      <c r="P108" s="551"/>
    </row>
    <row r="109" spans="1:16" ht="10.9" customHeight="1">
      <c r="B109" s="566" t="s">
        <v>3683</v>
      </c>
      <c r="C109" s="72" t="s">
        <v>915</v>
      </c>
      <c r="M109" s="589" t="str">
        <f>IF(AND($I$93="HOPE VI Initiative",O109=""), "X","")</f>
        <v/>
      </c>
      <c r="N109" s="233" t="s">
        <v>3683</v>
      </c>
      <c r="O109" s="1184"/>
      <c r="P109" s="355"/>
    </row>
    <row r="110" spans="1:16" s="53" customFormat="1" ht="11.45" customHeight="1">
      <c r="A110" s="564"/>
      <c r="B110" s="565" t="s">
        <v>3064</v>
      </c>
      <c r="C110" s="153" t="s">
        <v>539</v>
      </c>
      <c r="D110" s="139"/>
      <c r="E110" s="50"/>
      <c r="G110" s="594" t="s">
        <v>919</v>
      </c>
      <c r="M110" s="70"/>
      <c r="N110" s="565" t="s">
        <v>3064</v>
      </c>
      <c r="O110" s="1184"/>
      <c r="P110" s="355"/>
    </row>
    <row r="111" spans="1:16" s="53" customFormat="1" ht="11.45" customHeight="1">
      <c r="A111" s="564" t="str">
        <f>IF($I$93="Redevelopment Zone", "X","")</f>
        <v/>
      </c>
      <c r="B111" s="565" t="s">
        <v>3821</v>
      </c>
      <c r="C111" s="153" t="s">
        <v>540</v>
      </c>
      <c r="D111" s="139"/>
      <c r="F111" s="589"/>
      <c r="G111" s="50" t="s">
        <v>1649</v>
      </c>
      <c r="H111" s="1185" t="s">
        <v>2799</v>
      </c>
      <c r="I111" s="161" t="s">
        <v>1561</v>
      </c>
      <c r="J111" s="1186"/>
      <c r="K111" s="1187"/>
      <c r="L111" s="1188"/>
      <c r="M111" s="70"/>
      <c r="N111" s="565" t="s">
        <v>3821</v>
      </c>
      <c r="O111" s="1184"/>
      <c r="P111" s="355"/>
    </row>
    <row r="112" spans="1:16" s="53" customFormat="1" ht="11.45" customHeight="1">
      <c r="A112" s="564" t="str">
        <f>IF($I$93="Local Redevelopment Plan", "X","")</f>
        <v/>
      </c>
      <c r="B112" s="565" t="s">
        <v>1884</v>
      </c>
      <c r="C112" s="153" t="s">
        <v>916</v>
      </c>
      <c r="D112" s="139"/>
      <c r="E112" s="50"/>
      <c r="F112" s="589"/>
      <c r="G112" s="50" t="s">
        <v>636</v>
      </c>
      <c r="H112" s="1189"/>
      <c r="I112" s="1190"/>
      <c r="J112" s="1190"/>
      <c r="K112" s="1190"/>
      <c r="L112" s="1191"/>
      <c r="M112" s="70"/>
      <c r="N112" s="565" t="s">
        <v>1884</v>
      </c>
      <c r="O112" s="1184"/>
      <c r="P112" s="355"/>
    </row>
    <row r="113" spans="1:16" ht="11.45" customHeight="1">
      <c r="B113" s="566" t="s">
        <v>3680</v>
      </c>
      <c r="C113" s="50" t="s">
        <v>920</v>
      </c>
      <c r="D113" s="137"/>
      <c r="G113" s="137" t="s">
        <v>918</v>
      </c>
      <c r="H113" s="1192"/>
      <c r="M113" s="589" t="str">
        <f>IF(AND($I$93="Local Redevelopment Plan",O113=""), "X","")</f>
        <v/>
      </c>
      <c r="N113" s="566" t="s">
        <v>3680</v>
      </c>
      <c r="O113" s="1183"/>
      <c r="P113" s="354"/>
    </row>
    <row r="114" spans="1:16" ht="10.9" customHeight="1">
      <c r="B114" s="566" t="s">
        <v>3681</v>
      </c>
      <c r="C114" s="567" t="s">
        <v>3709</v>
      </c>
      <c r="D114" s="137"/>
      <c r="M114" s="589"/>
      <c r="N114" s="566" t="s">
        <v>3681</v>
      </c>
      <c r="O114" s="1193"/>
      <c r="P114" s="617"/>
    </row>
    <row r="115" spans="1:16" ht="10.9" customHeight="1">
      <c r="B115" s="566" t="s">
        <v>3682</v>
      </c>
      <c r="C115" s="567" t="s">
        <v>3710</v>
      </c>
      <c r="M115" s="589" t="str">
        <f t="shared" ref="M115:M124" si="0">IF(AND($I$93="Local Redevelopment Plan",O115=""), "X","")</f>
        <v/>
      </c>
      <c r="N115" s="566" t="s">
        <v>3682</v>
      </c>
      <c r="O115" s="1174"/>
      <c r="P115" s="551"/>
    </row>
    <row r="116" spans="1:16" ht="10.9" customHeight="1">
      <c r="B116" s="566" t="s">
        <v>3683</v>
      </c>
      <c r="C116" s="567" t="s">
        <v>3711</v>
      </c>
      <c r="M116" s="589" t="str">
        <f t="shared" si="0"/>
        <v/>
      </c>
      <c r="N116" s="566" t="s">
        <v>3683</v>
      </c>
      <c r="O116" s="1174"/>
      <c r="P116" s="551"/>
    </row>
    <row r="117" spans="1:16" ht="10.9" customHeight="1">
      <c r="B117" s="566" t="s">
        <v>3684</v>
      </c>
      <c r="C117" s="72" t="s">
        <v>3712</v>
      </c>
      <c r="M117" s="589" t="str">
        <f t="shared" si="0"/>
        <v/>
      </c>
      <c r="N117" s="566" t="s">
        <v>3684</v>
      </c>
      <c r="O117" s="1174"/>
      <c r="P117" s="551"/>
    </row>
    <row r="118" spans="1:16" ht="10.9" customHeight="1">
      <c r="B118" s="566" t="s">
        <v>3707</v>
      </c>
      <c r="C118" s="567" t="s">
        <v>3713</v>
      </c>
      <c r="D118" s="137"/>
      <c r="M118" s="589" t="str">
        <f t="shared" si="0"/>
        <v/>
      </c>
      <c r="N118" s="566" t="s">
        <v>3707</v>
      </c>
      <c r="O118" s="1174"/>
      <c r="P118" s="551"/>
    </row>
    <row r="119" spans="1:16" ht="10.9" customHeight="1">
      <c r="B119" s="566" t="s">
        <v>3708</v>
      </c>
      <c r="C119" s="567" t="s">
        <v>3714</v>
      </c>
      <c r="M119" s="589" t="str">
        <f t="shared" si="0"/>
        <v/>
      </c>
      <c r="N119" s="566" t="s">
        <v>3708</v>
      </c>
      <c r="O119" s="1184"/>
      <c r="P119" s="355"/>
    </row>
    <row r="120" spans="1:16" ht="11.45" customHeight="1">
      <c r="A120" s="564" t="str">
        <f>IF($I$93="Stable Communities &lt; 20%", "X","")</f>
        <v>X</v>
      </c>
      <c r="B120" s="584" t="s">
        <v>3718</v>
      </c>
      <c r="E120" s="159"/>
      <c r="M120" s="591"/>
      <c r="N120" s="31"/>
      <c r="O120" s="161" t="s">
        <v>3793</v>
      </c>
      <c r="P120" s="161" t="s">
        <v>3793</v>
      </c>
    </row>
    <row r="121" spans="1:16" ht="10.9" customHeight="1">
      <c r="B121" s="566" t="s">
        <v>3715</v>
      </c>
      <c r="C121" s="567" t="s">
        <v>3719</v>
      </c>
      <c r="M121" s="589" t="str">
        <f t="shared" si="0"/>
        <v/>
      </c>
      <c r="N121" s="566" t="s">
        <v>3715</v>
      </c>
      <c r="O121" s="1183"/>
      <c r="P121" s="354"/>
    </row>
    <row r="122" spans="1:16" ht="10.9" customHeight="1">
      <c r="B122" s="566" t="s">
        <v>3716</v>
      </c>
      <c r="C122" s="72" t="s">
        <v>3720</v>
      </c>
      <c r="M122" s="589" t="str">
        <f t="shared" si="0"/>
        <v/>
      </c>
      <c r="N122" s="566" t="s">
        <v>3716</v>
      </c>
      <c r="O122" s="1174"/>
      <c r="P122" s="551"/>
    </row>
    <row r="123" spans="1:16" ht="10.9" customHeight="1">
      <c r="B123" s="566" t="s">
        <v>3717</v>
      </c>
      <c r="C123" s="567" t="s">
        <v>3721</v>
      </c>
      <c r="M123" s="589" t="str">
        <f t="shared" si="0"/>
        <v/>
      </c>
      <c r="N123" s="566" t="s">
        <v>3717</v>
      </c>
      <c r="O123" s="1174"/>
      <c r="P123" s="551"/>
    </row>
    <row r="124" spans="1:16" ht="10.9" customHeight="1">
      <c r="B124" s="566" t="s">
        <v>917</v>
      </c>
      <c r="C124" s="72" t="s">
        <v>3722</v>
      </c>
      <c r="M124" s="589" t="str">
        <f t="shared" si="0"/>
        <v/>
      </c>
      <c r="N124" s="566" t="s">
        <v>917</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30.75" customHeight="1">
      <c r="A126" s="1177" t="s">
        <v>4099</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0</v>
      </c>
      <c r="P132" s="96">
        <f>MIN($M132,(P133+P139))</f>
        <v>0</v>
      </c>
      <c r="Q132" s="146" t="s">
        <v>651</v>
      </c>
    </row>
    <row r="133" spans="1:17" ht="12" customHeight="1">
      <c r="B133" s="737"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1194"/>
      <c r="P133" s="696"/>
    </row>
    <row r="134" spans="1:17" s="137" customFormat="1" ht="22.9" customHeight="1">
      <c r="B134" s="596" t="s">
        <v>3062</v>
      </c>
      <c r="C134" s="1067" t="s">
        <v>1563</v>
      </c>
      <c r="D134" s="1039"/>
      <c r="E134" s="1039"/>
      <c r="F134" s="1039"/>
      <c r="G134" s="1039"/>
      <c r="H134" s="1039"/>
      <c r="I134" s="1039"/>
      <c r="J134" s="1039"/>
      <c r="K134" s="1039"/>
      <c r="L134" s="1039"/>
      <c r="M134" s="695"/>
      <c r="N134" s="596" t="s">
        <v>3062</v>
      </c>
      <c r="O134" s="1166"/>
      <c r="P134" s="234"/>
    </row>
    <row r="135" spans="1:17" s="137" customFormat="1" ht="11.45" customHeight="1">
      <c r="B135" s="252"/>
      <c r="C135" s="160" t="s">
        <v>1564</v>
      </c>
      <c r="H135" s="137" t="s">
        <v>1562</v>
      </c>
      <c r="I135" s="1195"/>
      <c r="J135" s="137" t="s">
        <v>950</v>
      </c>
      <c r="K135" s="1196"/>
      <c r="L135" s="1197"/>
      <c r="M135" s="1198"/>
    </row>
    <row r="136" spans="1:17" s="137" customFormat="1" ht="11.45" customHeight="1">
      <c r="B136" s="252" t="s">
        <v>3064</v>
      </c>
      <c r="C136" s="160" t="s">
        <v>1565</v>
      </c>
      <c r="M136" s="8"/>
      <c r="N136" s="252" t="s">
        <v>3064</v>
      </c>
      <c r="O136" s="1183"/>
      <c r="P136" s="354"/>
    </row>
    <row r="137" spans="1:17" s="137" customFormat="1" ht="11.45" customHeight="1">
      <c r="B137" s="252" t="s">
        <v>3821</v>
      </c>
      <c r="C137" s="160" t="s">
        <v>1566</v>
      </c>
      <c r="M137" s="8"/>
      <c r="N137" s="252" t="s">
        <v>3821</v>
      </c>
      <c r="O137" s="1174"/>
      <c r="P137" s="551"/>
    </row>
    <row r="138" spans="1:17" s="137" customFormat="1" ht="11.45" customHeight="1">
      <c r="B138" s="252" t="s">
        <v>1884</v>
      </c>
      <c r="C138" s="160" t="s">
        <v>1567</v>
      </c>
      <c r="M138" s="8"/>
      <c r="N138" s="252" t="s">
        <v>1884</v>
      </c>
      <c r="O138" s="1184"/>
      <c r="P138" s="355"/>
    </row>
    <row r="139" spans="1:17" ht="12" customHeight="1">
      <c r="A139" s="256" t="s">
        <v>2054</v>
      </c>
      <c r="B139" s="737" t="s">
        <v>3061</v>
      </c>
      <c r="C139" s="256" t="s">
        <v>3357</v>
      </c>
      <c r="D139" s="159"/>
      <c r="E139" s="159"/>
      <c r="M139" s="3">
        <v>3</v>
      </c>
      <c r="N139" s="62" t="s">
        <v>3061</v>
      </c>
      <c r="O139" s="697">
        <f>IF($M140=4,3,IF($M140=3,2,IF($M140=2,1,0)))</f>
        <v>0</v>
      </c>
      <c r="P139" s="697">
        <f>IF($M140=4,3,IF($M140=3,2,IF($M140=2,1,0)))</f>
        <v>0</v>
      </c>
    </row>
    <row r="140" spans="1:17" ht="12" customHeight="1">
      <c r="B140" s="125"/>
      <c r="D140" s="42"/>
      <c r="E140" s="42"/>
      <c r="F140" s="42"/>
      <c r="G140" s="50"/>
      <c r="H140" s="50"/>
      <c r="I140" s="50"/>
      <c r="J140" s="50"/>
      <c r="L140" s="592" t="s">
        <v>733</v>
      </c>
      <c r="M140" s="1166" t="s">
        <v>259</v>
      </c>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2920</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1162">
        <v>2</v>
      </c>
      <c r="P146" s="89"/>
      <c r="Q146" s="146" t="s">
        <v>651</v>
      </c>
    </row>
    <row r="147" spans="1:17" ht="11.45" customHeight="1">
      <c r="B147" s="235" t="s">
        <v>2665</v>
      </c>
      <c r="E147" s="159"/>
      <c r="M147" s="591"/>
      <c r="N147" s="31"/>
      <c r="O147" s="31"/>
      <c r="P147" s="161" t="s">
        <v>3793</v>
      </c>
    </row>
    <row r="148" spans="1:17" ht="11.45" customHeight="1">
      <c r="A148" s="566" t="s">
        <v>3680</v>
      </c>
      <c r="B148" s="567" t="s">
        <v>3725</v>
      </c>
      <c r="D148" s="137"/>
      <c r="M148" s="589"/>
      <c r="N148" s="566"/>
      <c r="O148" s="566" t="s">
        <v>3680</v>
      </c>
      <c r="P148" s="354"/>
    </row>
    <row r="149" spans="1:17" ht="23.45" customHeight="1">
      <c r="A149" s="593" t="s">
        <v>3681</v>
      </c>
      <c r="B149" s="1055" t="s">
        <v>3726</v>
      </c>
      <c r="C149" s="1039"/>
      <c r="D149" s="1039"/>
      <c r="E149" s="1039"/>
      <c r="F149" s="1039"/>
      <c r="G149" s="1039"/>
      <c r="H149" s="1039"/>
      <c r="I149" s="1039"/>
      <c r="J149" s="1039"/>
      <c r="K149" s="1039"/>
      <c r="L149" s="1039"/>
      <c r="M149" s="1039"/>
      <c r="N149" s="1039"/>
      <c r="O149" s="566" t="s">
        <v>3681</v>
      </c>
      <c r="P149" s="551"/>
    </row>
    <row r="150" spans="1:17" ht="11.45" customHeight="1">
      <c r="A150" s="566" t="s">
        <v>3682</v>
      </c>
      <c r="B150" s="567" t="s">
        <v>3727</v>
      </c>
      <c r="M150" s="589"/>
      <c r="N150" s="566"/>
      <c r="O150" s="566" t="s">
        <v>3682</v>
      </c>
      <c r="P150" s="551"/>
    </row>
    <row r="151" spans="1:17" ht="11.45" customHeight="1">
      <c r="A151" s="566" t="s">
        <v>3683</v>
      </c>
      <c r="B151" s="72" t="s">
        <v>3338</v>
      </c>
      <c r="M151" s="589"/>
      <c r="N151" s="566"/>
      <c r="O151" s="566" t="s">
        <v>3683</v>
      </c>
      <c r="P151" s="551"/>
    </row>
    <row r="152" spans="1:17" ht="23.45" customHeight="1">
      <c r="A152" s="593" t="s">
        <v>3684</v>
      </c>
      <c r="B152" s="1055" t="s">
        <v>3339</v>
      </c>
      <c r="C152" s="1039"/>
      <c r="D152" s="1039"/>
      <c r="E152" s="1039"/>
      <c r="F152" s="1039"/>
      <c r="G152" s="1039"/>
      <c r="H152" s="1039"/>
      <c r="I152" s="1039"/>
      <c r="J152" s="1039"/>
      <c r="K152" s="1039"/>
      <c r="L152" s="1039"/>
      <c r="M152" s="1039"/>
      <c r="N152" s="1039"/>
      <c r="O152" s="566" t="s">
        <v>3684</v>
      </c>
      <c r="P152" s="551"/>
    </row>
    <row r="153" spans="1:17" ht="11.45" customHeight="1">
      <c r="A153" s="566" t="s">
        <v>3707</v>
      </c>
      <c r="B153" s="567" t="s">
        <v>3340</v>
      </c>
      <c r="M153" s="589"/>
      <c r="N153" s="566"/>
      <c r="O153" s="566" t="s">
        <v>3707</v>
      </c>
      <c r="P153" s="551"/>
    </row>
    <row r="154" spans="1:17" ht="11.45" customHeight="1">
      <c r="A154" s="566" t="s">
        <v>3708</v>
      </c>
      <c r="B154" s="567" t="s">
        <v>2666</v>
      </c>
      <c r="M154" s="589"/>
      <c r="N154" s="566"/>
      <c r="O154" s="566" t="s">
        <v>3708</v>
      </c>
      <c r="P154" s="551"/>
    </row>
    <row r="155" spans="1:17" ht="11.45" customHeight="1">
      <c r="A155" s="566" t="s">
        <v>3715</v>
      </c>
      <c r="B155" s="72" t="s">
        <v>2667</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3058</v>
      </c>
      <c r="C167" s="238" t="s">
        <v>3359</v>
      </c>
      <c r="D167" s="76"/>
      <c r="E167" s="76"/>
      <c r="G167" s="31"/>
      <c r="K167" s="62" t="s">
        <v>2214</v>
      </c>
      <c r="L167" s="1166" t="s">
        <v>3926</v>
      </c>
      <c r="M167" s="8">
        <v>1</v>
      </c>
      <c r="N167" s="62" t="s">
        <v>3058</v>
      </c>
      <c r="O167" s="1162">
        <v>1</v>
      </c>
      <c r="P167" s="89"/>
      <c r="Q167" s="146"/>
      <c r="R167" s="573" t="str">
        <f>IF(OR($O167=$M167,$O167=0,$O167=""),"","* * Check Score! * *")</f>
        <v/>
      </c>
    </row>
    <row r="168" spans="1:18" s="53" customFormat="1" ht="12" customHeight="1">
      <c r="B168" s="737" t="s">
        <v>3061</v>
      </c>
      <c r="C168" s="238" t="s">
        <v>3360</v>
      </c>
      <c r="D168" s="72"/>
      <c r="E168" s="40"/>
      <c r="F168" s="72"/>
      <c r="K168" s="65"/>
      <c r="L168" s="573" t="str">
        <f>IF(OR($O168=$M168,$O168=0,$O168=""),"","* * Check Score! * *")</f>
        <v/>
      </c>
      <c r="M168" s="8">
        <v>1</v>
      </c>
      <c r="N168" s="62" t="s">
        <v>3061</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4061</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6</v>
      </c>
      <c r="P175" s="96">
        <f>MIN($M175,(P176+P180))</f>
        <v>0</v>
      </c>
      <c r="Q175" s="146" t="s">
        <v>651</v>
      </c>
    </row>
    <row r="176" spans="1:18" s="53" customFormat="1" ht="12" customHeight="1">
      <c r="B176" s="737" t="s">
        <v>3058</v>
      </c>
      <c r="C176" s="238" t="s">
        <v>2840</v>
      </c>
      <c r="D176" s="158"/>
      <c r="E176" s="158"/>
      <c r="F176" s="51"/>
      <c r="H176" s="49"/>
      <c r="I176" s="49"/>
      <c r="J176" s="49"/>
      <c r="K176" s="49"/>
      <c r="L176" s="573" t="str">
        <f>IF($O176&lt;=$M176,"","* * Check Score! * *")</f>
        <v/>
      </c>
      <c r="M176" s="3">
        <v>3</v>
      </c>
      <c r="N176" s="83" t="s">
        <v>3058</v>
      </c>
      <c r="O176" s="128">
        <f>IF(O177="One",$M178, IF(O177="Two",$M179,0))</f>
        <v>1</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t="s">
        <v>4038</v>
      </c>
      <c r="P177" s="89"/>
      <c r="Q177" s="146"/>
    </row>
    <row r="178" spans="1:18" s="692" customFormat="1" ht="35.450000000000003" customHeight="1">
      <c r="A178" s="691" t="str">
        <f>IF($I$93="HOPE VI Initiative", "X","")</f>
        <v/>
      </c>
      <c r="B178" s="693" t="s">
        <v>3062</v>
      </c>
      <c r="C178" s="1068" t="s">
        <v>189</v>
      </c>
      <c r="D178" s="1068"/>
      <c r="E178" s="1068"/>
      <c r="F178" s="1068"/>
      <c r="G178" s="1068"/>
      <c r="H178" s="1068"/>
      <c r="I178" s="1068"/>
      <c r="J178" s="1068"/>
      <c r="K178" s="1068"/>
      <c r="L178" s="1068"/>
      <c r="M178" s="694">
        <v>3</v>
      </c>
    </row>
    <row r="179" spans="1:18" s="692" customFormat="1" ht="39.75" customHeight="1">
      <c r="A179" s="691" t="str">
        <f>IF($I$93="HOPE VI Initiative", "X","")</f>
        <v/>
      </c>
      <c r="B179" s="693" t="s">
        <v>3064</v>
      </c>
      <c r="C179" s="1068" t="s">
        <v>2900</v>
      </c>
      <c r="D179" s="1068"/>
      <c r="E179" s="1068"/>
      <c r="F179" s="1068"/>
      <c r="G179" s="1068"/>
      <c r="H179" s="1068"/>
      <c r="I179" s="1068"/>
      <c r="J179" s="1068"/>
      <c r="K179" s="1068"/>
      <c r="L179" s="1068"/>
      <c r="M179" s="694">
        <v>1</v>
      </c>
    </row>
    <row r="180" spans="1:18" ht="12" customHeight="1">
      <c r="B180" s="737" t="s">
        <v>3061</v>
      </c>
      <c r="C180" s="238" t="s">
        <v>2668</v>
      </c>
      <c r="D180" s="42"/>
      <c r="E180" s="42"/>
      <c r="F180" s="42"/>
      <c r="G180" s="157"/>
      <c r="H180" s="42"/>
      <c r="I180" s="42"/>
      <c r="J180" s="42"/>
      <c r="K180" s="42"/>
      <c r="L180" s="42"/>
      <c r="M180" s="1">
        <v>6</v>
      </c>
      <c r="N180" s="62" t="s">
        <v>3061</v>
      </c>
      <c r="O180" s="128">
        <f>IF((O181+O182+O183)=7,5,MIN($M180,(O181+O182+O183)))</f>
        <v>6</v>
      </c>
      <c r="P180" s="128">
        <f>IF((P181+P182+P183)=7,5,MIN($M180,(P181+P182+P183)))</f>
        <v>0</v>
      </c>
      <c r="R180" s="573" t="str">
        <f>IF(OR($O180=$M180,$O180=0,$O180=""),"","* * Check Score! * *")</f>
        <v/>
      </c>
    </row>
    <row r="181" spans="1:18" s="137" customFormat="1" ht="11.45" customHeight="1">
      <c r="B181" s="252" t="s">
        <v>3062</v>
      </c>
      <c r="C181" s="160" t="s">
        <v>2670</v>
      </c>
      <c r="L181" s="573"/>
      <c r="M181" s="8">
        <v>6</v>
      </c>
      <c r="N181" s="252" t="s">
        <v>3062</v>
      </c>
      <c r="O181" s="1162">
        <v>6</v>
      </c>
      <c r="P181" s="89"/>
    </row>
    <row r="182" spans="1:18" s="137" customFormat="1" ht="11.45" customHeight="1">
      <c r="B182" s="252" t="s">
        <v>3064</v>
      </c>
      <c r="C182" s="160" t="s">
        <v>2671</v>
      </c>
      <c r="L182" s="573" t="str">
        <f>IF(OR($O182=$M182,$O182=0,$O182=""),"","* * Check Score! * *")</f>
        <v/>
      </c>
      <c r="M182" s="8">
        <v>2</v>
      </c>
      <c r="N182" s="252" t="s">
        <v>3064</v>
      </c>
      <c r="O182" s="1162"/>
      <c r="P182" s="89"/>
    </row>
    <row r="183" spans="1:18" s="137" customFormat="1" ht="11.45" customHeight="1">
      <c r="B183" s="252" t="s">
        <v>3821</v>
      </c>
      <c r="C183" s="160" t="s">
        <v>2669</v>
      </c>
      <c r="L183" s="573" t="str">
        <f>IF(OR($O183=$M183,$O183=0,$O183=""),"","* * Check Score! * *")</f>
        <v/>
      </c>
      <c r="M183" s="8">
        <v>2</v>
      </c>
      <c r="N183" s="252" t="s">
        <v>3821</v>
      </c>
      <c r="O183" s="1162">
        <v>2</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66.75" customHeight="1">
      <c r="A185" s="1152" t="s">
        <v>4100</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3058</v>
      </c>
      <c r="B192" s="398" t="s">
        <v>921</v>
      </c>
      <c r="D192" s="42"/>
      <c r="E192" s="42"/>
      <c r="F192" s="42"/>
      <c r="L192" s="573" t="str">
        <f>IF(OR($O192=$M192,$O192=0,$O192=""),"","* * Check Score! * *")</f>
        <v/>
      </c>
      <c r="M192" s="7">
        <v>3</v>
      </c>
      <c r="N192" s="62" t="s">
        <v>3058</v>
      </c>
      <c r="O192" s="1162"/>
      <c r="P192" s="89"/>
      <c r="Q192" s="146"/>
      <c r="R192" s="573" t="str">
        <f>IF(OR($O192=$M192,$O192=0,$O192=""),"","* * Check Score! * *")</f>
        <v/>
      </c>
    </row>
    <row r="193" spans="1:18" s="53" customFormat="1" ht="12" customHeight="1">
      <c r="A193" s="189" t="s">
        <v>3061</v>
      </c>
      <c r="B193" s="398" t="s">
        <v>2866</v>
      </c>
      <c r="D193" s="50"/>
      <c r="E193" s="50"/>
      <c r="F193" s="40"/>
      <c r="G193" s="139"/>
      <c r="H193" s="139"/>
      <c r="I193" s="139"/>
      <c r="J193" s="139"/>
      <c r="K193" s="139"/>
      <c r="L193" s="573" t="str">
        <f>IF(OR($O193=$M193,$O193=0,$O193=""),"","* * Check Score! * *")</f>
        <v/>
      </c>
      <c r="M193" s="7">
        <v>2</v>
      </c>
      <c r="N193" s="62" t="s">
        <v>3061</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2673</v>
      </c>
      <c r="D200" s="42"/>
      <c r="E200" s="42"/>
      <c r="F200" s="42"/>
      <c r="L200" s="573" t="str">
        <f>IF(OR($O200=$M200,$O200=0,$O200=""),"","* * Check Score! * *")</f>
        <v/>
      </c>
      <c r="M200" s="7">
        <v>2</v>
      </c>
      <c r="N200" s="62" t="s">
        <v>3058</v>
      </c>
      <c r="O200" s="1162">
        <v>2</v>
      </c>
      <c r="P200" s="89"/>
      <c r="Q200" s="146"/>
      <c r="R200" s="573" t="str">
        <f>IF(OR($O200=$M200,$O200=0,$O200=""),"","* * Check Score! * *")</f>
        <v/>
      </c>
    </row>
    <row r="201" spans="1:18" s="53" customFormat="1" ht="12" customHeight="1">
      <c r="A201" s="189" t="s">
        <v>3061</v>
      </c>
      <c r="B201" s="147" t="s">
        <v>2674</v>
      </c>
      <c r="D201" s="50"/>
      <c r="E201" s="50"/>
      <c r="F201" s="40"/>
      <c r="G201" s="139"/>
      <c r="H201" s="139"/>
      <c r="I201" s="139"/>
      <c r="J201" s="139"/>
      <c r="K201" s="139"/>
      <c r="L201" s="46"/>
      <c r="M201" s="7">
        <v>1</v>
      </c>
      <c r="N201" s="62" t="s">
        <v>3061</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4101</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2675</v>
      </c>
      <c r="B207" s="142" t="s">
        <v>1036</v>
      </c>
      <c r="G207" s="158"/>
      <c r="H207" s="158"/>
      <c r="I207" s="158"/>
      <c r="J207" s="263" t="s">
        <v>3640</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71" t="s">
        <v>1570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950</v>
      </c>
      <c r="D209" s="1199"/>
      <c r="E209" s="1200"/>
      <c r="F209" s="1200"/>
      <c r="G209" s="1201"/>
      <c r="I209" s="702" t="s">
        <v>1571</v>
      </c>
      <c r="J209" s="1166"/>
      <c r="L209" s="702" t="s">
        <v>1572</v>
      </c>
      <c r="M209" s="1166"/>
      <c r="N209" s="64"/>
      <c r="O209" s="64"/>
      <c r="P209" s="64"/>
      <c r="Q209" s="701"/>
      <c r="R209" s="700"/>
    </row>
    <row r="210" spans="1:18" s="53" customFormat="1" ht="13.9" customHeight="1">
      <c r="A210" s="52"/>
      <c r="B210" s="59" t="s">
        <v>333</v>
      </c>
      <c r="C210" s="52"/>
      <c r="D210" s="58"/>
      <c r="E210" s="58"/>
      <c r="F210" s="58"/>
      <c r="G210" s="58"/>
      <c r="H210" s="46"/>
      <c r="I210" s="46"/>
      <c r="J210" s="117" t="s">
        <v>2920</v>
      </c>
      <c r="M210" s="56"/>
      <c r="N210" s="77"/>
      <c r="O210" s="4"/>
      <c r="P210" s="33"/>
    </row>
    <row r="211" spans="1:18" s="53" customFormat="1" ht="25.15" customHeight="1">
      <c r="A211" s="1159"/>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2677</v>
      </c>
      <c r="B213" s="152" t="s">
        <v>2676</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2891</v>
      </c>
      <c r="D214" s="139"/>
      <c r="E214" s="1202" t="s">
        <v>2812</v>
      </c>
      <c r="F214" s="1203"/>
      <c r="G214" s="1204"/>
      <c r="H214" s="1205"/>
      <c r="I214" s="64" t="s">
        <v>2890</v>
      </c>
      <c r="O214" s="161" t="s">
        <v>3793</v>
      </c>
      <c r="P214" s="161" t="s">
        <v>3793</v>
      </c>
    </row>
    <row r="215" spans="1:18" s="137" customFormat="1" ht="11.45" customHeight="1">
      <c r="B215" s="566" t="s">
        <v>3680</v>
      </c>
      <c r="C215" s="160" t="s">
        <v>2678</v>
      </c>
      <c r="D215" s="160"/>
      <c r="E215" s="160"/>
      <c r="F215" s="160"/>
      <c r="G215" s="1206" t="s">
        <v>3807</v>
      </c>
      <c r="H215" s="1207"/>
      <c r="I215" s="1208"/>
      <c r="J215" s="1206" t="s">
        <v>1836</v>
      </c>
      <c r="K215" s="1207"/>
      <c r="L215" s="1208"/>
      <c r="N215" s="566" t="s">
        <v>3680</v>
      </c>
      <c r="O215" s="1166"/>
      <c r="P215" s="234"/>
    </row>
    <row r="216" spans="1:18" s="137" customFormat="1" ht="11.45" customHeight="1">
      <c r="B216" s="566" t="s">
        <v>3681</v>
      </c>
      <c r="C216" s="160" t="s">
        <v>505</v>
      </c>
      <c r="D216" s="160"/>
      <c r="E216" s="160"/>
      <c r="F216" s="160"/>
      <c r="G216" s="160"/>
      <c r="L216" s="160"/>
      <c r="M216" s="160"/>
      <c r="N216" s="566" t="s">
        <v>3681</v>
      </c>
      <c r="O216" s="1166"/>
      <c r="P216" s="234"/>
    </row>
    <row r="217" spans="1:18" s="137" customFormat="1" ht="11.45" customHeight="1">
      <c r="B217" s="566" t="s">
        <v>3682</v>
      </c>
      <c r="C217" s="160" t="s">
        <v>2623</v>
      </c>
      <c r="D217" s="160"/>
      <c r="E217" s="160"/>
      <c r="F217" s="160"/>
      <c r="G217" s="160"/>
      <c r="H217" s="160"/>
      <c r="L217" s="160"/>
      <c r="M217" s="160"/>
      <c r="N217" s="566" t="s">
        <v>3682</v>
      </c>
      <c r="O217" s="1166"/>
      <c r="P217" s="234"/>
    </row>
    <row r="218" spans="1:18" s="137" customFormat="1" ht="11.45" customHeight="1">
      <c r="B218" s="566" t="s">
        <v>3683</v>
      </c>
      <c r="C218" s="160" t="s">
        <v>3489</v>
      </c>
      <c r="D218" s="160"/>
      <c r="E218" s="160"/>
      <c r="F218" s="160"/>
      <c r="G218" s="160"/>
      <c r="H218" s="160"/>
      <c r="I218" s="160"/>
      <c r="J218" s="160"/>
      <c r="K218" s="160"/>
      <c r="L218" s="160"/>
      <c r="M218" s="160"/>
      <c r="N218" s="566" t="s">
        <v>3683</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2679</v>
      </c>
      <c r="B227" s="152" t="s">
        <v>2892</v>
      </c>
      <c r="D227" s="120"/>
      <c r="E227" s="120"/>
      <c r="F227" s="65"/>
      <c r="G227" s="65"/>
      <c r="H227" s="65"/>
      <c r="I227" s="65"/>
      <c r="J227" s="67"/>
      <c r="K227" s="75"/>
      <c r="L227" s="71" t="str">
        <f>IF(M227&gt;14,"Over limit!","")</f>
        <v/>
      </c>
      <c r="M227" s="4">
        <v>8</v>
      </c>
      <c r="N227" s="7"/>
      <c r="O227" s="81">
        <f>MIN($M227,(O235+O245+O247))</f>
        <v>2</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868</v>
      </c>
      <c r="E229" s="120"/>
      <c r="F229" s="65"/>
      <c r="G229" s="65"/>
      <c r="H229" s="65"/>
      <c r="I229" s="65"/>
      <c r="J229" s="67"/>
      <c r="K229" s="75"/>
      <c r="L229" s="71" t="str">
        <f>IF(M229&gt;14,"Over limit!","")</f>
        <v/>
      </c>
      <c r="N229" s="252" t="s">
        <v>3062</v>
      </c>
      <c r="O229" s="1166"/>
      <c r="P229" s="234"/>
    </row>
    <row r="230" spans="1:18" s="137" customFormat="1" ht="12" customHeight="1">
      <c r="B230" s="252" t="s">
        <v>3064</v>
      </c>
      <c r="C230" s="137" t="s">
        <v>869</v>
      </c>
      <c r="N230" s="252" t="s">
        <v>3064</v>
      </c>
      <c r="O230" s="1166"/>
      <c r="P230" s="234"/>
    </row>
    <row r="231" spans="1:18" s="137" customFormat="1" ht="12" customHeight="1">
      <c r="B231" s="252" t="s">
        <v>3821</v>
      </c>
      <c r="C231" s="137" t="s">
        <v>870</v>
      </c>
      <c r="N231" s="252" t="s">
        <v>3821</v>
      </c>
      <c r="O231" s="1166"/>
      <c r="P231" s="234"/>
    </row>
    <row r="232" spans="1:18" s="137" customFormat="1" ht="12" customHeight="1">
      <c r="B232" s="252" t="s">
        <v>1884</v>
      </c>
      <c r="C232" s="137" t="s">
        <v>871</v>
      </c>
      <c r="N232" s="252" t="s">
        <v>1884</v>
      </c>
      <c r="O232" s="1166"/>
      <c r="P232" s="234"/>
    </row>
    <row r="233" spans="1:18" s="137" customFormat="1" ht="12" customHeight="1">
      <c r="B233" s="252" t="s">
        <v>1885</v>
      </c>
      <c r="C233" s="137" t="s">
        <v>883</v>
      </c>
      <c r="N233" s="252" t="s">
        <v>1885</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2</v>
      </c>
      <c r="P235" s="205">
        <f>MIN($M235,SUM(P236:P243))</f>
        <v>0</v>
      </c>
    </row>
    <row r="236" spans="1:18" s="53" customFormat="1" ht="12" customHeight="1">
      <c r="A236" s="253"/>
      <c r="B236" s="252" t="s">
        <v>3062</v>
      </c>
      <c r="C236" s="46" t="s">
        <v>2215</v>
      </c>
      <c r="H236" s="68" t="s">
        <v>2216</v>
      </c>
      <c r="K236" s="255"/>
      <c r="L236" s="573" t="str">
        <f t="shared" ref="L236:L243" si="1">IF(OR($O236=$M236,$O236=0,$O236=""),"","* * Check Score! * *")</f>
        <v/>
      </c>
      <c r="M236" s="7">
        <v>1</v>
      </c>
      <c r="N236" s="252" t="s">
        <v>3062</v>
      </c>
      <c r="O236" s="1166"/>
      <c r="P236" s="89"/>
      <c r="R236" s="573" t="str">
        <f>IF(OR($O236=$M236,$O236=0,$O236=""),"","* * Check Score! * *")</f>
        <v/>
      </c>
    </row>
    <row r="237" spans="1:18" ht="12" customHeight="1">
      <c r="A237" s="254"/>
      <c r="B237" s="252" t="s">
        <v>3064</v>
      </c>
      <c r="C237" s="46" t="s">
        <v>2219</v>
      </c>
      <c r="H237" s="68" t="s">
        <v>2216</v>
      </c>
      <c r="L237" s="573" t="str">
        <f t="shared" si="1"/>
        <v/>
      </c>
      <c r="M237" s="7">
        <v>1</v>
      </c>
      <c r="N237" s="252" t="s">
        <v>3064</v>
      </c>
      <c r="O237" s="1166"/>
      <c r="P237" s="89"/>
      <c r="R237" s="573" t="str">
        <f t="shared" ref="R237:R243" si="2">IF(OR($O237=$M237,$O237=0,$O237=""),"","* * Check Score! * *")</f>
        <v/>
      </c>
    </row>
    <row r="238" spans="1:18" ht="12" customHeight="1">
      <c r="B238" s="252" t="s">
        <v>3821</v>
      </c>
      <c r="C238" s="46" t="s">
        <v>2223</v>
      </c>
      <c r="H238" s="68" t="s">
        <v>2216</v>
      </c>
      <c r="L238" s="573" t="str">
        <f>IF(OR($O238=$M238,$O238=0,$O238=""),"","* * Check Score! * *")</f>
        <v/>
      </c>
      <c r="M238" s="7">
        <v>1</v>
      </c>
      <c r="N238" s="252" t="s">
        <v>3821</v>
      </c>
      <c r="O238" s="1166"/>
      <c r="P238" s="89"/>
      <c r="R238" s="573" t="str">
        <f>IF(OR($O238=$M238,$O238=0,$O238=""),"","* * Check Score! * *")</f>
        <v/>
      </c>
    </row>
    <row r="239" spans="1:18" ht="12" customHeight="1">
      <c r="A239" s="254"/>
      <c r="B239" s="252" t="s">
        <v>1884</v>
      </c>
      <c r="C239" s="46" t="s">
        <v>872</v>
      </c>
      <c r="L239" s="573" t="str">
        <f t="shared" si="1"/>
        <v/>
      </c>
      <c r="M239" s="7">
        <v>1</v>
      </c>
      <c r="N239" s="252" t="s">
        <v>1884</v>
      </c>
      <c r="O239" s="1166"/>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66"/>
      <c r="P240" s="89"/>
      <c r="R240" s="573" t="str">
        <f t="shared" si="2"/>
        <v/>
      </c>
    </row>
    <row r="241" spans="1:18" ht="12" customHeight="1">
      <c r="A241" s="254"/>
      <c r="B241" s="252" t="s">
        <v>2941</v>
      </c>
      <c r="C241" s="46" t="s">
        <v>2221</v>
      </c>
      <c r="H241" s="68" t="s">
        <v>2217</v>
      </c>
      <c r="L241" s="573" t="str">
        <f t="shared" si="1"/>
        <v/>
      </c>
      <c r="M241" s="7">
        <v>2</v>
      </c>
      <c r="N241" s="252" t="s">
        <v>2941</v>
      </c>
      <c r="O241" s="1166"/>
      <c r="P241" s="89"/>
      <c r="R241" s="573" t="str">
        <f t="shared" si="2"/>
        <v/>
      </c>
    </row>
    <row r="242" spans="1:18" ht="12" customHeight="1">
      <c r="A242" s="254"/>
      <c r="B242" s="252" t="s">
        <v>742</v>
      </c>
      <c r="C242" s="46" t="s">
        <v>2222</v>
      </c>
      <c r="H242" s="68" t="s">
        <v>2217</v>
      </c>
      <c r="L242" s="573" t="str">
        <f t="shared" si="1"/>
        <v/>
      </c>
      <c r="M242" s="7">
        <v>2</v>
      </c>
      <c r="N242" s="252" t="s">
        <v>742</v>
      </c>
      <c r="O242" s="1166">
        <v>2</v>
      </c>
      <c r="P242" s="89"/>
      <c r="R242" s="573" t="str">
        <f t="shared" si="2"/>
        <v/>
      </c>
    </row>
    <row r="243" spans="1:18" ht="12" customHeight="1">
      <c r="A243" s="254"/>
      <c r="B243" s="252" t="s">
        <v>743</v>
      </c>
      <c r="C243" s="46" t="s">
        <v>2224</v>
      </c>
      <c r="H243" s="68" t="s">
        <v>2218</v>
      </c>
      <c r="L243" s="573" t="str">
        <f t="shared" si="1"/>
        <v/>
      </c>
      <c r="M243" s="7">
        <v>3</v>
      </c>
      <c r="N243" s="252" t="s">
        <v>743</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8" t="s">
        <v>2894</v>
      </c>
      <c r="D245" s="49"/>
      <c r="E245" s="46"/>
      <c r="F245" s="1"/>
      <c r="G245" s="1"/>
      <c r="H245" s="46" t="s">
        <v>2895</v>
      </c>
      <c r="I245" s="1"/>
      <c r="J245" s="40"/>
      <c r="K245" s="40"/>
      <c r="L245" s="40"/>
      <c r="M245" s="3">
        <v>3</v>
      </c>
      <c r="N245" s="62" t="s">
        <v>3061</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66"/>
      <c r="P247" s="89"/>
      <c r="R247" s="573" t="str">
        <f>IF(OR($O247=$M247,$O247=0,$O247=""),"","* * Check Score! * *")</f>
        <v/>
      </c>
    </row>
    <row r="248" spans="1:18" s="53" customFormat="1" ht="12.6" customHeight="1">
      <c r="A248" s="253"/>
      <c r="B248" s="252" t="s">
        <v>3062</v>
      </c>
      <c r="C248" s="46" t="s">
        <v>982</v>
      </c>
      <c r="E248" s="1209"/>
      <c r="F248" s="1210"/>
      <c r="G248" s="1210"/>
      <c r="H248" s="1211"/>
      <c r="K248" s="255"/>
      <c r="M248" s="7"/>
      <c r="N248" s="7"/>
      <c r="O248" s="7"/>
      <c r="P248" s="7"/>
    </row>
    <row r="249" spans="1:18" ht="33" customHeight="1">
      <c r="A249" s="254"/>
      <c r="B249" s="596" t="s">
        <v>3064</v>
      </c>
      <c r="C249" s="597" t="s">
        <v>3559</v>
      </c>
      <c r="D249" s="598"/>
      <c r="E249" s="1212"/>
      <c r="F249" s="1213"/>
      <c r="G249" s="1213"/>
      <c r="H249" s="1213"/>
      <c r="I249" s="1213"/>
      <c r="J249" s="1213"/>
      <c r="K249" s="1213"/>
      <c r="L249" s="1213"/>
      <c r="M249" s="1213"/>
      <c r="N249" s="1213"/>
      <c r="O249" s="1213"/>
      <c r="P249" s="1214"/>
    </row>
    <row r="250" spans="1:18" ht="12.6" customHeight="1">
      <c r="B250" s="252" t="s">
        <v>3821</v>
      </c>
      <c r="C250" s="46" t="s">
        <v>983</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t="s">
        <v>4102</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2920</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1166" t="s">
        <v>3926</v>
      </c>
      <c r="P260" s="234"/>
    </row>
    <row r="261" spans="1:18" s="53" customFormat="1" ht="24.6" customHeight="1">
      <c r="A261" s="52"/>
      <c r="B261" s="1069" t="s">
        <v>3916</v>
      </c>
      <c r="C261" s="1070"/>
      <c r="D261" s="1070"/>
      <c r="E261" s="1070"/>
      <c r="F261" s="1070"/>
      <c r="G261" s="1070"/>
      <c r="H261" s="1070"/>
      <c r="I261" s="1070"/>
      <c r="J261" s="1070"/>
      <c r="K261" s="1070"/>
      <c r="L261" s="1070"/>
      <c r="M261" s="56"/>
      <c r="N261" s="77"/>
      <c r="O261" s="1166" t="s">
        <v>3926</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t="s">
        <v>4059</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2920</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2686</v>
      </c>
      <c r="D271" s="42"/>
      <c r="E271" s="42"/>
      <c r="F271" s="42"/>
      <c r="L271" s="573" t="str">
        <f>IF(OR($O271=$M271,$O271=0,$O271=""),"","* * Check Score! * *")</f>
        <v/>
      </c>
      <c r="M271" s="7">
        <v>3</v>
      </c>
      <c r="N271" s="62" t="s">
        <v>3058</v>
      </c>
      <c r="O271" s="1162">
        <v>3</v>
      </c>
      <c r="P271" s="89"/>
      <c r="Q271" s="146"/>
      <c r="R271" s="573" t="str">
        <f>IF(OR($O271=$M271,$O271=0,$O271=""),"","* * Check Score! * *")</f>
        <v/>
      </c>
    </row>
    <row r="272" spans="1:18" s="53" customFormat="1" ht="12" customHeight="1">
      <c r="A272" s="189" t="s">
        <v>3061</v>
      </c>
      <c r="B272" s="147" t="s">
        <v>2687</v>
      </c>
      <c r="D272" s="50"/>
      <c r="E272" s="50"/>
      <c r="F272" s="40"/>
      <c r="G272" s="139"/>
      <c r="H272" s="139"/>
      <c r="I272" s="139"/>
      <c r="J272" s="139"/>
      <c r="K272" s="139"/>
      <c r="L272" s="46"/>
      <c r="M272" s="7">
        <v>3</v>
      </c>
      <c r="N272" s="62" t="s">
        <v>3061</v>
      </c>
      <c r="O272" s="1162">
        <v>3</v>
      </c>
      <c r="P272" s="89"/>
      <c r="R272" s="573" t="str">
        <f>IF(OR($O272=$M272,$O272=0,$O272=""),"","* * Check Score! * *")</f>
        <v/>
      </c>
    </row>
    <row r="273" spans="1:18" s="53" customFormat="1" ht="22.9" customHeight="1">
      <c r="A273" s="189"/>
      <c r="B273" s="1066" t="s">
        <v>3517</v>
      </c>
      <c r="C273" s="1067"/>
      <c r="D273" s="1067"/>
      <c r="E273" s="1067"/>
      <c r="F273" s="1067"/>
      <c r="G273" s="1067"/>
      <c r="H273" s="1067"/>
      <c r="I273" s="1067"/>
      <c r="J273" s="1067"/>
      <c r="K273" s="1067"/>
      <c r="L273" s="1067"/>
      <c r="M273" s="1067"/>
      <c r="N273" s="62"/>
      <c r="O273" s="1166" t="s">
        <v>4004</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4060</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3835</v>
      </c>
      <c r="M281" s="52"/>
      <c r="N281" s="52"/>
      <c r="O281" s="1166" t="s">
        <v>3925</v>
      </c>
      <c r="P281" s="234"/>
    </row>
    <row r="282" spans="1:18" s="45" customFormat="1" ht="3" customHeight="1">
      <c r="M282" s="52"/>
      <c r="N282" s="52"/>
      <c r="O282" s="52"/>
      <c r="P282" s="52"/>
    </row>
    <row r="283" spans="1:18" ht="12.6" customHeight="1">
      <c r="B283" s="258" t="s">
        <v>3058</v>
      </c>
      <c r="C283" s="256" t="s">
        <v>2159</v>
      </c>
      <c r="D283" s="42"/>
      <c r="E283" s="42"/>
      <c r="F283" s="42"/>
      <c r="G283" s="42"/>
      <c r="H283" s="42"/>
      <c r="I283" s="42"/>
      <c r="J283" s="42"/>
      <c r="K283" s="42"/>
      <c r="L283" s="42"/>
      <c r="M283" s="156"/>
      <c r="N283" s="62" t="s">
        <v>3058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1166" t="s">
        <v>4075</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36" customHeight="1">
      <c r="A288" s="1152" t="s">
        <v>4077</v>
      </c>
      <c r="B288" s="1153"/>
      <c r="C288" s="1153"/>
      <c r="D288" s="1153"/>
      <c r="E288" s="1153"/>
      <c r="F288" s="1153"/>
      <c r="G288" s="1153"/>
      <c r="H288" s="1153"/>
      <c r="I288" s="1153"/>
      <c r="J288" s="1153"/>
      <c r="K288" s="1153"/>
      <c r="L288" s="1153"/>
      <c r="M288" s="1153"/>
      <c r="N288" s="1153"/>
      <c r="O288" s="1153"/>
      <c r="P288" s="1154"/>
      <c r="Q288" s="998" t="s">
        <v>1931</v>
      </c>
      <c r="R288" s="998"/>
    </row>
    <row r="289" spans="1:19" s="67" customFormat="1" ht="23.45" customHeight="1">
      <c r="A289" s="1155" t="s">
        <v>4076</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2920</v>
      </c>
      <c r="C290" s="60"/>
      <c r="D290" s="84"/>
      <c r="E290" s="739"/>
      <c r="F290" s="739"/>
      <c r="G290" s="739"/>
      <c r="H290" s="739"/>
      <c r="I290" s="739"/>
      <c r="J290" s="739"/>
      <c r="K290" s="739"/>
      <c r="L290" s="739"/>
      <c r="M290" s="739"/>
      <c r="N290" s="127"/>
      <c r="O290" s="259"/>
      <c r="P290" s="3"/>
    </row>
    <row r="291" spans="1:19" s="53" customFormat="1" ht="34.5" customHeight="1">
      <c r="A291" s="989"/>
      <c r="B291" s="990"/>
      <c r="C291" s="990"/>
      <c r="D291" s="990"/>
      <c r="E291" s="990"/>
      <c r="F291" s="990"/>
      <c r="G291" s="990"/>
      <c r="H291" s="990"/>
      <c r="I291" s="990"/>
      <c r="J291" s="990"/>
      <c r="K291" s="990"/>
      <c r="L291" s="990"/>
      <c r="M291" s="990"/>
      <c r="N291" s="990"/>
      <c r="O291" s="990"/>
      <c r="P291" s="991"/>
      <c r="Q291" s="998" t="s">
        <v>1931</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56</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3183</v>
      </c>
      <c r="D301" s="166"/>
      <c r="E301" s="166"/>
      <c r="F301" s="166"/>
      <c r="G301" s="166"/>
      <c r="H301" s="166"/>
      <c r="I301" s="166"/>
      <c r="J301" s="166" t="s">
        <v>2799</v>
      </c>
      <c r="K301" s="166"/>
      <c r="L301" s="166"/>
      <c r="M301" s="155"/>
      <c r="Q301" s="155"/>
      <c r="R301" s="155"/>
      <c r="S301" s="155"/>
    </row>
    <row r="302" spans="1:19" ht="15">
      <c r="A302" s="155"/>
      <c r="B302" s="155"/>
      <c r="C302" s="113" t="s">
        <v>3841</v>
      </c>
      <c r="D302" s="113"/>
      <c r="E302" s="113"/>
      <c r="F302" s="113"/>
      <c r="G302" s="113"/>
      <c r="H302" s="113"/>
      <c r="I302" s="113"/>
      <c r="J302" s="358" t="s">
        <v>294</v>
      </c>
      <c r="K302" s="209"/>
      <c r="L302" s="166"/>
      <c r="M302" s="250"/>
      <c r="N302" s="251"/>
      <c r="Q302" s="155"/>
      <c r="R302" s="155"/>
      <c r="S302" s="155"/>
    </row>
    <row r="303" spans="1:19" ht="15">
      <c r="A303" s="155"/>
      <c r="B303" s="155"/>
      <c r="C303" s="113" t="s">
        <v>3184</v>
      </c>
      <c r="D303" s="113"/>
      <c r="E303" s="113"/>
      <c r="F303" s="113"/>
      <c r="G303" s="113"/>
      <c r="H303" s="113"/>
      <c r="I303" s="113"/>
      <c r="J303" s="358" t="s">
        <v>2635</v>
      </c>
      <c r="K303" s="209"/>
      <c r="L303" s="166"/>
      <c r="M303" s="250"/>
      <c r="N303" s="251"/>
      <c r="Q303" s="155"/>
      <c r="R303" s="155"/>
      <c r="S303" s="155"/>
    </row>
    <row r="304" spans="1:19" ht="15">
      <c r="A304" s="155"/>
      <c r="B304" s="155"/>
      <c r="C304" s="113" t="s">
        <v>3185</v>
      </c>
      <c r="D304" s="113"/>
      <c r="E304" s="113"/>
      <c r="F304" s="113"/>
      <c r="G304" s="113"/>
      <c r="H304" s="113"/>
      <c r="I304" s="113"/>
      <c r="J304" s="358" t="s">
        <v>2636</v>
      </c>
      <c r="K304" s="209"/>
      <c r="L304" s="166"/>
      <c r="M304" s="250"/>
      <c r="N304" s="251"/>
      <c r="Q304" s="155"/>
      <c r="R304" s="155"/>
      <c r="S304" s="155"/>
    </row>
    <row r="305" spans="1:19" ht="15">
      <c r="A305" s="155"/>
      <c r="B305" s="155"/>
      <c r="C305" s="359" t="s">
        <v>3186</v>
      </c>
      <c r="D305" s="113"/>
      <c r="E305" s="113"/>
      <c r="F305" s="113"/>
      <c r="G305" s="113"/>
      <c r="H305" s="113"/>
      <c r="I305" s="113"/>
      <c r="J305" s="358" t="s">
        <v>3783</v>
      </c>
      <c r="K305" s="209"/>
      <c r="L305" s="166"/>
      <c r="M305" s="250"/>
      <c r="N305" s="251"/>
      <c r="Q305" s="155"/>
      <c r="R305" s="155"/>
      <c r="S305" s="155"/>
    </row>
    <row r="306" spans="1:19" ht="15">
      <c r="A306" s="155"/>
      <c r="B306" s="155"/>
      <c r="C306" s="359" t="s">
        <v>3187</v>
      </c>
      <c r="D306" s="113"/>
      <c r="E306" s="113"/>
      <c r="F306" s="113"/>
      <c r="G306" s="113"/>
      <c r="H306" s="113"/>
      <c r="I306" s="113"/>
      <c r="J306" s="358" t="s">
        <v>2637</v>
      </c>
      <c r="K306" s="209"/>
      <c r="L306" s="166"/>
      <c r="M306" s="250"/>
      <c r="N306" s="251"/>
      <c r="Q306" s="155"/>
      <c r="R306" s="155"/>
      <c r="S306" s="155"/>
    </row>
    <row r="307" spans="1:19" ht="15">
      <c r="A307" s="155"/>
      <c r="B307" s="155"/>
      <c r="C307" s="359"/>
      <c r="D307" s="113"/>
      <c r="E307" s="113"/>
      <c r="F307" s="113"/>
      <c r="G307" s="113"/>
      <c r="H307" s="113"/>
      <c r="I307" s="113"/>
      <c r="J307" s="358" t="s">
        <v>2638</v>
      </c>
      <c r="K307" s="209"/>
      <c r="L307" s="166"/>
      <c r="M307" s="250"/>
      <c r="N307" s="251"/>
      <c r="Q307" s="155"/>
      <c r="R307" s="155"/>
      <c r="S307" s="155"/>
    </row>
    <row r="308" spans="1:19" ht="15">
      <c r="A308" s="155"/>
      <c r="B308" s="155"/>
      <c r="C308" s="166" t="s">
        <v>2799</v>
      </c>
      <c r="D308" s="113"/>
      <c r="E308" s="113"/>
      <c r="F308" s="113"/>
      <c r="G308" s="113"/>
      <c r="H308" s="113"/>
      <c r="I308" s="113"/>
      <c r="J308" s="358" t="s">
        <v>2639</v>
      </c>
      <c r="K308" s="209"/>
      <c r="L308" s="166"/>
      <c r="M308" s="250"/>
      <c r="N308" s="251"/>
      <c r="Q308" s="155"/>
      <c r="R308" s="155"/>
      <c r="S308" s="155"/>
    </row>
    <row r="309" spans="1:19" ht="15">
      <c r="A309" s="155"/>
      <c r="B309" s="155"/>
      <c r="C309" s="360" t="s">
        <v>2097</v>
      </c>
      <c r="D309" s="113"/>
      <c r="E309" s="113"/>
      <c r="F309" s="113"/>
      <c r="G309" s="113"/>
      <c r="H309" s="113"/>
      <c r="I309" s="113"/>
      <c r="J309" s="358" t="s">
        <v>2640</v>
      </c>
      <c r="K309" s="209"/>
      <c r="L309" s="166"/>
      <c r="M309" s="250"/>
      <c r="N309" s="251"/>
      <c r="Q309" s="155"/>
      <c r="R309" s="155"/>
      <c r="S309" s="155"/>
    </row>
    <row r="310" spans="1:19" ht="15">
      <c r="A310" s="155"/>
      <c r="B310" s="155"/>
      <c r="C310" s="360" t="s">
        <v>2098</v>
      </c>
      <c r="D310" s="113"/>
      <c r="E310" s="113"/>
      <c r="F310" s="113"/>
      <c r="G310" s="113"/>
      <c r="H310" s="113"/>
      <c r="I310" s="113"/>
      <c r="J310" s="358" t="s">
        <v>2641</v>
      </c>
      <c r="K310" s="209"/>
      <c r="L310" s="166"/>
      <c r="M310" s="250"/>
      <c r="N310" s="251"/>
      <c r="Q310" s="155"/>
      <c r="R310" s="155"/>
      <c r="S310" s="155"/>
    </row>
    <row r="311" spans="1:19" ht="15">
      <c r="A311" s="155"/>
      <c r="B311" s="155"/>
      <c r="C311" s="361" t="s">
        <v>3228</v>
      </c>
      <c r="D311" s="113"/>
      <c r="E311" s="113"/>
      <c r="F311" s="113"/>
      <c r="G311" s="113"/>
      <c r="H311" s="113"/>
      <c r="I311" s="113"/>
      <c r="J311" s="358" t="s">
        <v>2642</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2643</v>
      </c>
      <c r="K313" s="209"/>
      <c r="L313" s="166"/>
      <c r="M313" s="250"/>
      <c r="N313" s="251"/>
      <c r="Q313" s="155"/>
      <c r="R313" s="155"/>
      <c r="S313" s="155"/>
    </row>
    <row r="314" spans="1:19" ht="15">
      <c r="A314" s="155"/>
      <c r="B314" s="155"/>
      <c r="C314" s="360" t="s">
        <v>3223</v>
      </c>
      <c r="D314" s="113"/>
      <c r="E314" s="113"/>
      <c r="F314" s="113"/>
      <c r="G314" s="113"/>
      <c r="H314" s="113"/>
      <c r="I314" s="113"/>
      <c r="J314" s="358" t="s">
        <v>2644</v>
      </c>
      <c r="K314" s="209"/>
      <c r="L314" s="166"/>
      <c r="M314" s="250"/>
      <c r="N314" s="251"/>
      <c r="Q314" s="155"/>
      <c r="R314" s="155"/>
      <c r="S314" s="155"/>
    </row>
    <row r="315" spans="1:19" ht="15">
      <c r="A315" s="155"/>
      <c r="B315" s="155"/>
      <c r="C315" s="360" t="s">
        <v>3224</v>
      </c>
      <c r="D315" s="113"/>
      <c r="E315" s="113"/>
      <c r="F315" s="113"/>
      <c r="G315" s="113"/>
      <c r="H315" s="113"/>
      <c r="I315" s="113"/>
      <c r="J315" s="358" t="s">
        <v>2645</v>
      </c>
      <c r="K315" s="166"/>
      <c r="L315" s="166"/>
      <c r="M315" s="250"/>
      <c r="N315" s="251"/>
      <c r="Q315" s="155"/>
      <c r="R315" s="155"/>
      <c r="S315" s="155"/>
    </row>
    <row r="316" spans="1:19" ht="15">
      <c r="A316" s="155"/>
      <c r="B316" s="155"/>
      <c r="C316" s="360" t="s">
        <v>3225</v>
      </c>
      <c r="D316" s="166"/>
      <c r="E316" s="166"/>
      <c r="F316" s="166"/>
      <c r="G316" s="166"/>
      <c r="H316" s="166"/>
      <c r="I316" s="166"/>
      <c r="J316" s="358" t="s">
        <v>41</v>
      </c>
      <c r="K316" s="166"/>
      <c r="L316" s="166"/>
      <c r="M316" s="250"/>
      <c r="N316" s="251"/>
      <c r="Q316" s="155"/>
      <c r="R316" s="155"/>
      <c r="S316" s="155"/>
    </row>
    <row r="317" spans="1:19" ht="15">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3807</v>
      </c>
      <c r="H324" s="673" t="s">
        <v>3808</v>
      </c>
      <c r="I324" s="673" t="s">
        <v>1836</v>
      </c>
      <c r="J324" s="166"/>
      <c r="K324" s="166"/>
      <c r="L324" s="166"/>
      <c r="M324" s="250"/>
      <c r="N324" s="251"/>
    </row>
    <row r="325" spans="1:19" ht="25.5">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3165</v>
      </c>
      <c r="H326" s="674" t="s">
        <v>2032</v>
      </c>
      <c r="I326" s="674" t="s">
        <v>2029</v>
      </c>
      <c r="J326" s="166"/>
      <c r="K326" s="166"/>
      <c r="L326" s="166"/>
      <c r="M326" s="250"/>
      <c r="N326" s="251"/>
    </row>
    <row r="327" spans="1:19">
      <c r="A327" s="155"/>
      <c r="B327" s="155"/>
      <c r="C327" s="166"/>
      <c r="D327" s="166"/>
      <c r="E327" s="166"/>
      <c r="F327" s="166"/>
      <c r="G327" s="673" t="s">
        <v>2545</v>
      </c>
      <c r="H327" s="674" t="s">
        <v>3828</v>
      </c>
      <c r="I327" s="674" t="s">
        <v>2032</v>
      </c>
      <c r="J327" s="166"/>
      <c r="K327" s="166"/>
      <c r="L327" s="166"/>
      <c r="M327" s="250"/>
      <c r="N327" s="251"/>
    </row>
    <row r="328" spans="1:19" ht="25.5">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2032</v>
      </c>
      <c r="H329" s="674" t="s">
        <v>2998</v>
      </c>
      <c r="I329" s="674" t="s">
        <v>3761</v>
      </c>
      <c r="J329" s="166"/>
      <c r="K329" s="166"/>
      <c r="L329" s="166"/>
      <c r="M329" s="250"/>
      <c r="N329" s="251"/>
    </row>
    <row r="330" spans="1:19">
      <c r="A330" s="155"/>
      <c r="B330" s="155"/>
      <c r="C330" s="166"/>
      <c r="D330" s="166"/>
      <c r="E330" s="166"/>
      <c r="F330" s="166"/>
      <c r="G330" s="673" t="s">
        <v>2250</v>
      </c>
      <c r="H330" s="674" t="s">
        <v>3410</v>
      </c>
      <c r="I330" s="674" t="s">
        <v>3763</v>
      </c>
      <c r="J330" s="166"/>
      <c r="K330" s="166"/>
      <c r="L330" s="166"/>
      <c r="M330" s="250"/>
      <c r="N330" s="251"/>
    </row>
    <row r="331" spans="1:19">
      <c r="A331" s="155"/>
      <c r="B331" s="155"/>
      <c r="C331" s="166"/>
      <c r="D331" s="166"/>
      <c r="E331" s="166"/>
      <c r="F331" s="166"/>
      <c r="G331" s="673" t="s">
        <v>1641</v>
      </c>
      <c r="H331" s="674" t="s">
        <v>3830</v>
      </c>
      <c r="I331" s="674" t="s">
        <v>3816</v>
      </c>
      <c r="J331" s="166"/>
      <c r="K331" s="166"/>
      <c r="L331" s="166"/>
      <c r="M331" s="250"/>
      <c r="N331" s="251"/>
    </row>
    <row r="332" spans="1:19">
      <c r="A332" s="155"/>
      <c r="B332" s="155"/>
      <c r="C332" s="166"/>
      <c r="D332" s="166"/>
      <c r="E332" s="166"/>
      <c r="F332" s="166"/>
      <c r="G332" s="673" t="s">
        <v>3763</v>
      </c>
      <c r="H332" s="674" t="s">
        <v>1002</v>
      </c>
      <c r="I332" s="674" t="s">
        <v>254</v>
      </c>
      <c r="J332" s="166"/>
      <c r="K332" s="166"/>
      <c r="L332" s="166"/>
      <c r="M332" s="250"/>
      <c r="N332" s="251"/>
    </row>
    <row r="333" spans="1:19">
      <c r="A333" s="155"/>
      <c r="B333" s="155"/>
      <c r="C333" s="166"/>
      <c r="D333" s="166"/>
      <c r="E333" s="166"/>
      <c r="F333" s="166"/>
      <c r="G333" s="673" t="s">
        <v>3152</v>
      </c>
      <c r="H333" s="674" t="s">
        <v>2632</v>
      </c>
      <c r="I333" s="674" t="s">
        <v>1548</v>
      </c>
      <c r="J333" s="166"/>
      <c r="K333" s="166"/>
      <c r="L333" s="166"/>
      <c r="M333" s="250"/>
      <c r="N333" s="251"/>
    </row>
    <row r="334" spans="1:19" ht="25.5">
      <c r="A334" s="155"/>
      <c r="B334" s="155"/>
      <c r="C334" s="166"/>
      <c r="D334" s="166"/>
      <c r="E334" s="166"/>
      <c r="F334" s="166"/>
      <c r="G334" s="673" t="s">
        <v>933</v>
      </c>
      <c r="H334" s="674" t="s">
        <v>3831</v>
      </c>
      <c r="I334" s="674" t="s">
        <v>1550</v>
      </c>
      <c r="J334" s="166"/>
      <c r="K334" s="166"/>
      <c r="L334" s="166"/>
      <c r="M334" s="250"/>
      <c r="N334" s="251"/>
    </row>
    <row r="335" spans="1:19" ht="25.5">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3398</v>
      </c>
      <c r="I336" s="674" t="s">
        <v>1468</v>
      </c>
      <c r="J336" s="166"/>
      <c r="K336" s="166"/>
      <c r="L336" s="166"/>
      <c r="M336" s="250"/>
      <c r="N336" s="251"/>
    </row>
    <row r="337" spans="1:14">
      <c r="A337" s="155"/>
      <c r="B337" s="155"/>
      <c r="C337" s="166"/>
      <c r="D337" s="166"/>
      <c r="E337" s="166"/>
      <c r="F337" s="166"/>
      <c r="G337" s="673" t="s">
        <v>669</v>
      </c>
      <c r="H337" s="674" t="s">
        <v>2951</v>
      </c>
      <c r="I337" s="674" t="s">
        <v>1007</v>
      </c>
      <c r="J337" s="166"/>
      <c r="K337" s="166"/>
      <c r="L337" s="166"/>
      <c r="M337" s="250"/>
      <c r="N337" s="251"/>
    </row>
    <row r="338" spans="1:14" ht="51">
      <c r="A338" s="155"/>
      <c r="B338" s="155"/>
      <c r="C338" s="166"/>
      <c r="D338" s="166"/>
      <c r="E338" s="166"/>
      <c r="F338" s="166"/>
      <c r="G338" s="673" t="s">
        <v>298</v>
      </c>
      <c r="H338" s="674" t="s">
        <v>3834</v>
      </c>
      <c r="I338" s="674" t="s">
        <v>1012</v>
      </c>
      <c r="J338" s="166"/>
      <c r="K338" s="166"/>
      <c r="L338" s="166"/>
      <c r="M338" s="250"/>
      <c r="N338" s="251"/>
    </row>
    <row r="339" spans="1:14" ht="25.5">
      <c r="A339" s="155"/>
      <c r="B339" s="155"/>
      <c r="C339" s="166"/>
      <c r="D339" s="166"/>
      <c r="E339" s="166"/>
      <c r="F339" s="166"/>
      <c r="G339" s="673" t="s">
        <v>2547</v>
      </c>
      <c r="H339" s="674" t="s">
        <v>3827</v>
      </c>
      <c r="I339" s="674" t="s">
        <v>407</v>
      </c>
      <c r="J339" s="166"/>
      <c r="K339" s="166"/>
      <c r="L339" s="166"/>
      <c r="M339" s="250"/>
      <c r="N339" s="251"/>
    </row>
    <row r="340" spans="1:14" ht="25.5">
      <c r="A340" s="155"/>
      <c r="B340" s="155"/>
      <c r="C340" s="166"/>
      <c r="D340" s="166"/>
      <c r="E340" s="166"/>
      <c r="F340" s="166"/>
      <c r="G340" s="673" t="s">
        <v>880</v>
      </c>
      <c r="H340" s="674" t="s">
        <v>3832</v>
      </c>
      <c r="I340" s="674" t="s">
        <v>416</v>
      </c>
      <c r="J340" s="166"/>
      <c r="K340" s="166"/>
      <c r="L340" s="166"/>
      <c r="M340" s="250"/>
      <c r="N340" s="251"/>
    </row>
    <row r="341" spans="1:14">
      <c r="A341" s="155"/>
      <c r="B341" s="155"/>
      <c r="C341" s="166"/>
      <c r="D341" s="166"/>
      <c r="E341" s="166"/>
      <c r="F341" s="166"/>
      <c r="G341" s="673" t="s">
        <v>2548</v>
      </c>
      <c r="H341" s="674" t="s">
        <v>3833</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3189</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51">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3387</v>
      </c>
      <c r="H349" s="674"/>
      <c r="I349" s="674" t="s">
        <v>2539</v>
      </c>
      <c r="J349" s="166"/>
      <c r="K349" s="166"/>
      <c r="L349" s="166"/>
      <c r="M349" s="250"/>
      <c r="N349" s="251"/>
    </row>
    <row r="350" spans="1:14">
      <c r="A350" s="155"/>
      <c r="B350" s="155"/>
      <c r="C350" s="166"/>
      <c r="D350" s="166"/>
      <c r="E350" s="166"/>
      <c r="F350" s="166"/>
      <c r="G350" s="673" t="s">
        <v>3389</v>
      </c>
      <c r="H350" s="674"/>
      <c r="I350" s="674" t="s">
        <v>1741</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5.5">
      <c r="A352" s="155"/>
      <c r="B352" s="155"/>
      <c r="C352" s="166"/>
      <c r="D352" s="166"/>
      <c r="E352" s="166"/>
      <c r="F352" s="166"/>
      <c r="G352" s="673" t="s">
        <v>2550</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ht="13.5">
      <c r="A356" s="155"/>
      <c r="B356" s="155"/>
      <c r="C356" s="675"/>
      <c r="D356" s="675"/>
      <c r="E356" s="166"/>
      <c r="F356" s="166"/>
      <c r="G356" s="639" t="s">
        <v>2717</v>
      </c>
      <c r="H356" s="507"/>
      <c r="I356" s="674" t="s">
        <v>2661</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2296</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24" sqref="D24"/>
    </sheetView>
  </sheetViews>
  <sheetFormatPr defaultRowHeight="12.75"/>
  <cols>
    <col min="1" max="1" width="88.42578125" style="31" customWidth="1"/>
    <col min="2" max="16384" width="9.140625" style="31"/>
  </cols>
  <sheetData>
    <row r="1" spans="1:6" ht="15.75">
      <c r="A1" s="1146" t="s">
        <v>802</v>
      </c>
    </row>
    <row r="2" spans="1:6" ht="16.5">
      <c r="A2" s="1147" t="str">
        <f>'Part I-Project Information'!F22</f>
        <v xml:space="preserve">Briarcliff Summit Apartments </v>
      </c>
    </row>
    <row r="3" spans="1:6" ht="16.5">
      <c r="A3" s="1147" t="str">
        <f>CONCATENATE('Part I-Project Information'!F24,", ", 'Part I-Project Information'!J25," County")</f>
        <v>Atlanta, Fulton County</v>
      </c>
    </row>
    <row r="4" spans="1:6" ht="12" customHeight="1"/>
    <row r="5" spans="1:6" ht="134.25" customHeight="1">
      <c r="A5" s="1148" t="s">
        <v>4065</v>
      </c>
      <c r="B5" s="774" t="s">
        <v>1590</v>
      </c>
      <c r="C5" s="774"/>
      <c r="D5" s="774"/>
      <c r="E5" s="774"/>
      <c r="F5" s="774"/>
    </row>
    <row r="6" spans="1:6" ht="6.6" customHeight="1">
      <c r="A6" s="1149"/>
      <c r="B6" s="774"/>
      <c r="C6" s="774"/>
      <c r="D6" s="774"/>
      <c r="E6" s="774"/>
      <c r="F6" s="774"/>
    </row>
    <row r="7" spans="1:6" ht="148.5" customHeight="1">
      <c r="A7" s="1148" t="s">
        <v>4062</v>
      </c>
      <c r="C7" s="1150"/>
    </row>
    <row r="8" spans="1:6" ht="6.6" customHeight="1">
      <c r="A8" s="1149"/>
    </row>
    <row r="9" spans="1:6" ht="162.75" customHeight="1">
      <c r="A9" s="1148" t="s">
        <v>4066</v>
      </c>
    </row>
    <row r="10" spans="1:6" ht="6.6" customHeight="1">
      <c r="A10" s="1149"/>
    </row>
    <row r="11" spans="1:6" ht="74.25" customHeight="1">
      <c r="A11" s="1148" t="s">
        <v>4064</v>
      </c>
    </row>
    <row r="12" spans="1:6" ht="6.6" customHeight="1">
      <c r="A12" s="1149"/>
    </row>
    <row r="13" spans="1:6" ht="128.25" customHeight="1">
      <c r="A13" s="1148" t="s">
        <v>4063</v>
      </c>
    </row>
    <row r="14" spans="1:6" ht="6.6" customHeight="1">
      <c r="A14" s="1149"/>
    </row>
    <row r="15" spans="1:6" ht="76.5" customHeight="1">
      <c r="A15" s="1148" t="s">
        <v>4067</v>
      </c>
    </row>
    <row r="16" spans="1:6" ht="6.6" customHeight="1">
      <c r="A16" s="1149"/>
    </row>
    <row r="17" spans="1:1" ht="165.75" customHeight="1">
      <c r="A17" s="1148" t="s">
        <v>4069</v>
      </c>
    </row>
    <row r="18" spans="1:1" ht="6.6" customHeight="1">
      <c r="A18" s="1149"/>
    </row>
    <row r="19" spans="1:1" ht="182.25" customHeight="1">
      <c r="A19" s="1148" t="s">
        <v>4068</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24" sqref="A24:M24"/>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2241</v>
      </c>
      <c r="O1" s="1129"/>
      <c r="P1" s="1129"/>
      <c r="Q1" s="1129"/>
      <c r="R1" s="1129"/>
      <c r="S1" s="1129"/>
      <c r="T1" s="1129"/>
      <c r="U1" s="1129"/>
      <c r="V1" s="1129"/>
      <c r="W1" s="1129"/>
      <c r="X1" s="1129"/>
      <c r="Y1" s="1129"/>
      <c r="Z1" s="1129"/>
    </row>
    <row r="3" spans="1:26">
      <c r="N3" s="1130" t="s">
        <v>2242</v>
      </c>
      <c r="O3" s="1130"/>
      <c r="P3" s="1130"/>
      <c r="Q3" s="1130"/>
      <c r="R3" s="1130"/>
      <c r="S3" s="1130"/>
      <c r="T3" s="1130"/>
      <c r="U3" s="1130"/>
      <c r="V3" s="1130"/>
      <c r="W3" s="1130"/>
      <c r="X3" s="1130"/>
      <c r="Y3" s="1130"/>
      <c r="Z3" s="1130"/>
    </row>
    <row r="4" spans="1:26">
      <c r="N4" s="1131" t="s">
        <v>2243</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1058</v>
      </c>
    </row>
    <row r="7" spans="1:26" ht="11.45" customHeight="1">
      <c r="A7" s="1132"/>
      <c r="B7" s="1132"/>
      <c r="C7" s="1132"/>
      <c r="D7" s="1132"/>
      <c r="E7" s="1132"/>
      <c r="F7" s="1132"/>
      <c r="G7" s="1132"/>
      <c r="H7" s="1132"/>
      <c r="I7" s="1132"/>
      <c r="J7" s="1132"/>
      <c r="K7" s="1132"/>
      <c r="L7" s="1132"/>
      <c r="M7" s="1132"/>
    </row>
    <row r="8" spans="1:26" ht="63.6" customHeight="1">
      <c r="A8" s="1134" t="s">
        <v>3472</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2763</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2765</v>
      </c>
      <c r="B20" s="1138" t="s">
        <v>1492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3569</v>
      </c>
      <c r="B22" s="1138" t="s">
        <v>1032</v>
      </c>
      <c r="C22" s="1138"/>
      <c r="D22" s="1138"/>
      <c r="E22" s="1138"/>
      <c r="F22" s="1138"/>
      <c r="G22" s="1138"/>
      <c r="H22" s="1138"/>
      <c r="I22" s="1138"/>
      <c r="J22" s="1138"/>
      <c r="K22" s="1138"/>
      <c r="L22" s="1138"/>
      <c r="M22" s="1138"/>
    </row>
    <row r="23" spans="1:13" ht="165.6" customHeight="1">
      <c r="A23" s="1137" t="s">
        <v>2302</v>
      </c>
      <c r="B23" s="1138" t="s">
        <v>3122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2303</v>
      </c>
      <c r="B25" s="1138" t="s">
        <v>2190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2193</v>
      </c>
      <c r="B31" s="1138" t="s">
        <v>2151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2193</v>
      </c>
      <c r="B33" s="1138" t="s">
        <v>1788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2193</v>
      </c>
      <c r="B35" s="1138" t="s">
        <v>1774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1515</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1516</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1517</v>
      </c>
      <c r="B44" s="1143"/>
      <c r="C44" s="1143"/>
      <c r="D44" s="1143"/>
      <c r="E44" s="1143"/>
      <c r="F44" s="1143"/>
      <c r="G44" s="1142"/>
      <c r="H44" s="1143" t="s">
        <v>3055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1518</v>
      </c>
      <c r="B48" s="1143"/>
      <c r="C48" s="1143"/>
      <c r="D48" s="1143"/>
      <c r="E48" s="1143"/>
      <c r="F48" s="1143"/>
      <c r="G48" s="1142"/>
      <c r="H48" s="1143" t="s">
        <v>1519</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1520</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2" zoomScale="120" workbookViewId="0">
      <selection activeCell="D24" sqref="D24"/>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1089</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5" customHeight="1">
      <c r="A8" s="243"/>
      <c r="B8" s="243"/>
      <c r="C8" s="243"/>
      <c r="D8" s="241"/>
      <c r="E8" s="241"/>
      <c r="F8" s="243" t="s">
        <v>3650</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3611</v>
      </c>
      <c r="K9" s="243"/>
      <c r="L9" s="243"/>
      <c r="M9" s="243"/>
      <c r="N9" s="243"/>
      <c r="O9" s="243"/>
      <c r="P9" s="241"/>
      <c r="Q9" s="424" t="s">
        <v>2759</v>
      </c>
      <c r="R9" s="747">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3685</v>
      </c>
      <c r="L10" s="428" t="s">
        <v>3686</v>
      </c>
      <c r="M10" s="428" t="s">
        <v>3687</v>
      </c>
      <c r="N10" s="428" t="s">
        <v>3688</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24728529</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29674193</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27201391</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5" customHeight="1">
      <c r="A18" s="243"/>
      <c r="B18" s="243"/>
      <c r="C18" s="243"/>
      <c r="D18" s="241"/>
      <c r="E18" s="241"/>
      <c r="F18" s="243" t="s">
        <v>2969</v>
      </c>
      <c r="G18" s="243"/>
      <c r="H18" s="241"/>
      <c r="I18" s="241"/>
      <c r="J18" s="243" t="s">
        <v>2280</v>
      </c>
      <c r="K18" s="243"/>
      <c r="L18" s="243"/>
      <c r="M18" s="243"/>
      <c r="N18" s="243"/>
      <c r="O18" s="243"/>
      <c r="P18" s="241"/>
      <c r="Q18" s="245">
        <v>3000</v>
      </c>
      <c r="R18" s="433" t="s">
        <v>2759</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78">
        <v>3500</v>
      </c>
      <c r="R31" s="1079"/>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3036</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5" customHeight="1">
      <c r="A35" s="243"/>
      <c r="B35" s="243"/>
      <c r="C35" s="243"/>
      <c r="D35" s="241"/>
      <c r="E35" s="241"/>
      <c r="F35" s="243"/>
      <c r="G35" s="243"/>
      <c r="H35" s="241"/>
      <c r="I35" s="241"/>
      <c r="J35" s="243" t="s">
        <v>3111</v>
      </c>
      <c r="K35" s="243"/>
      <c r="L35" s="243"/>
      <c r="M35" s="243"/>
      <c r="N35" s="243"/>
      <c r="O35" s="243"/>
      <c r="P35" s="241"/>
      <c r="Q35" s="747"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5" customHeight="1">
      <c r="A37" s="243"/>
      <c r="B37" s="243"/>
      <c r="C37" s="243"/>
      <c r="D37" s="241"/>
      <c r="E37" s="241"/>
      <c r="F37" s="243"/>
      <c r="G37" s="243"/>
      <c r="H37" s="241"/>
      <c r="I37" s="241"/>
      <c r="J37" s="243" t="s">
        <v>3111</v>
      </c>
      <c r="K37" s="243"/>
      <c r="L37" s="243"/>
      <c r="M37" s="243"/>
      <c r="N37" s="243"/>
      <c r="O37" s="243"/>
      <c r="P37" s="241"/>
      <c r="Q37" s="747" t="s">
        <v>1579</v>
      </c>
      <c r="R37" s="424">
        <v>500000</v>
      </c>
      <c r="S37" s="434"/>
      <c r="T37" s="434"/>
      <c r="U37" s="434"/>
    </row>
    <row r="38" spans="1:21" s="418" customFormat="1" ht="11.45" customHeight="1">
      <c r="A38" s="243"/>
      <c r="B38" s="243" t="s">
        <v>3126</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5" customHeight="1">
      <c r="A39" s="243"/>
      <c r="B39" s="243" t="s">
        <v>3127</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5"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80">
        <v>7.0000000000000007E-2</v>
      </c>
      <c r="R41" s="1080"/>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5"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5" customHeight="1">
      <c r="A46" s="243"/>
      <c r="B46" s="243" t="s">
        <v>2915</v>
      </c>
      <c r="C46" s="243"/>
      <c r="D46" s="241"/>
      <c r="E46" s="241"/>
      <c r="F46" s="243"/>
      <c r="G46" s="243"/>
      <c r="H46" s="243"/>
      <c r="I46" s="241"/>
      <c r="J46" s="243" t="s">
        <v>2756</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2737</v>
      </c>
      <c r="G47" s="243"/>
      <c r="H47" s="243" t="s">
        <v>3434</v>
      </c>
      <c r="I47" s="241"/>
      <c r="J47" s="243" t="s">
        <v>1585</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2786</v>
      </c>
      <c r="G52" s="243"/>
      <c r="H52" s="243"/>
      <c r="I52" s="241"/>
      <c r="J52" s="243" t="s">
        <v>3583</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3584</v>
      </c>
      <c r="K53" s="243"/>
      <c r="L53" s="243"/>
      <c r="M53" s="243"/>
      <c r="N53" s="243"/>
      <c r="O53" s="243"/>
      <c r="P53" s="241"/>
      <c r="Q53" s="1080" t="s">
        <v>3585</v>
      </c>
      <c r="R53" s="1080"/>
      <c r="S53" s="434"/>
      <c r="T53" s="434"/>
      <c r="U53" s="434"/>
    </row>
    <row r="54" spans="1:21" s="418" customFormat="1" ht="11.45"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5"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5"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5" customHeight="1">
      <c r="A58" s="243"/>
      <c r="B58" s="587" t="s">
        <v>3114</v>
      </c>
      <c r="C58" s="243"/>
      <c r="D58" s="241"/>
      <c r="E58" s="241"/>
      <c r="F58" s="243"/>
      <c r="G58" s="243"/>
      <c r="I58" s="241"/>
      <c r="J58" s="243" t="s">
        <v>3115</v>
      </c>
      <c r="K58" s="243"/>
      <c r="L58" s="243"/>
      <c r="M58" s="243"/>
      <c r="N58" s="243"/>
      <c r="O58" s="243"/>
      <c r="P58" s="241"/>
      <c r="Q58" s="436">
        <v>3</v>
      </c>
      <c r="R58" s="433" t="s">
        <v>2759</v>
      </c>
      <c r="S58" s="434"/>
      <c r="T58" s="434"/>
      <c r="U58" s="434"/>
    </row>
    <row r="59" spans="1:21" s="418" customFormat="1" ht="11.45" customHeight="1">
      <c r="A59" s="243"/>
      <c r="B59" s="246" t="s">
        <v>2790</v>
      </c>
      <c r="C59" s="243"/>
      <c r="D59" s="241"/>
      <c r="E59" s="243"/>
      <c r="F59" s="243"/>
      <c r="G59" s="243"/>
      <c r="H59" s="241"/>
      <c r="I59" s="241"/>
      <c r="J59" s="243" t="s">
        <v>2791</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3653</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2793</v>
      </c>
      <c r="C64" s="243"/>
      <c r="D64" s="243"/>
      <c r="E64" s="243"/>
      <c r="F64" s="243"/>
      <c r="G64" s="243"/>
      <c r="H64" s="243"/>
      <c r="J64" s="243" t="s">
        <v>2794</v>
      </c>
      <c r="K64" s="243"/>
      <c r="L64" s="243"/>
      <c r="M64" s="243"/>
      <c r="N64" s="243"/>
      <c r="O64" s="243"/>
      <c r="Q64" s="1080">
        <v>0.02</v>
      </c>
      <c r="R64" s="1080"/>
    </row>
    <row r="65" spans="1:21" s="434" customFormat="1" ht="11.45" customHeight="1">
      <c r="A65" s="243"/>
      <c r="B65" s="243" t="s">
        <v>2795</v>
      </c>
      <c r="C65" s="243"/>
      <c r="D65" s="243"/>
      <c r="E65" s="243"/>
      <c r="F65" s="243"/>
      <c r="G65" s="243"/>
      <c r="H65" s="243"/>
      <c r="J65" s="243" t="s">
        <v>2794</v>
      </c>
      <c r="K65" s="243"/>
      <c r="L65" s="243"/>
      <c r="M65" s="243"/>
      <c r="N65" s="243"/>
      <c r="O65" s="243"/>
      <c r="Q65" s="1080">
        <v>7.0000000000000007E-2</v>
      </c>
      <c r="R65" s="1080"/>
    </row>
    <row r="66" spans="1:21" s="434" customFormat="1" ht="11.45" customHeight="1">
      <c r="A66" s="243"/>
      <c r="B66" s="243" t="s">
        <v>2796</v>
      </c>
      <c r="C66" s="243"/>
      <c r="D66" s="243"/>
      <c r="E66" s="243"/>
      <c r="F66" s="243"/>
      <c r="G66" s="243"/>
      <c r="H66" s="243"/>
      <c r="J66" s="243" t="s">
        <v>2794</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2794</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2794</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2794</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1385</v>
      </c>
      <c r="K75" s="1125"/>
      <c r="L75" s="398"/>
    </row>
    <row r="76" spans="1:21" ht="13.5">
      <c r="C76" s="576" t="s">
        <v>1962</v>
      </c>
      <c r="D76" s="579" t="s">
        <v>1657</v>
      </c>
      <c r="J76" s="1126" t="s">
        <v>1388</v>
      </c>
      <c r="K76" s="1126" t="s">
        <v>1386</v>
      </c>
      <c r="L76" s="580" t="s">
        <v>1387</v>
      </c>
    </row>
    <row r="77" spans="1:21" ht="9" customHeight="1">
      <c r="C77" s="577" t="s">
        <v>2810</v>
      </c>
      <c r="D77" s="1127">
        <v>48600</v>
      </c>
      <c r="J77" s="427">
        <v>0</v>
      </c>
      <c r="K77" s="427">
        <v>0.7</v>
      </c>
      <c r="L77" s="427">
        <v>1</v>
      </c>
    </row>
    <row r="78" spans="1:21" ht="9" customHeight="1">
      <c r="C78" s="577" t="s">
        <v>1658</v>
      </c>
      <c r="D78" s="1127">
        <v>57700</v>
      </c>
      <c r="J78" s="427">
        <v>1</v>
      </c>
      <c r="K78" s="427">
        <v>0.75</v>
      </c>
      <c r="L78" s="427">
        <v>1.5</v>
      </c>
    </row>
    <row r="79" spans="1:21" ht="9" customHeight="1">
      <c r="C79" s="577" t="s">
        <v>1338</v>
      </c>
      <c r="D79" s="1127">
        <v>71800</v>
      </c>
      <c r="J79" s="427">
        <v>2</v>
      </c>
      <c r="K79" s="427">
        <v>0.9</v>
      </c>
      <c r="L79" s="427">
        <v>3</v>
      </c>
    </row>
    <row r="80" spans="1:21" ht="9" customHeight="1">
      <c r="C80" s="577" t="s">
        <v>1339</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1659</v>
      </c>
      <c r="D82" s="1127">
        <v>55900</v>
      </c>
      <c r="J82" s="427">
        <v>5</v>
      </c>
      <c r="K82" s="427">
        <v>1.28</v>
      </c>
      <c r="L82" s="427">
        <v>7.5</v>
      </c>
    </row>
    <row r="83" spans="3:12" ht="9" customHeight="1">
      <c r="C83" s="577" t="s">
        <v>2270</v>
      </c>
      <c r="D83" s="1127">
        <v>55900</v>
      </c>
    </row>
    <row r="84" spans="3:12" ht="9" customHeight="1">
      <c r="C84" s="577" t="s">
        <v>217</v>
      </c>
      <c r="D84" s="1127">
        <v>51800</v>
      </c>
    </row>
    <row r="85" spans="3:12" ht="9" customHeight="1">
      <c r="C85" s="577" t="s">
        <v>431</v>
      </c>
      <c r="D85" s="1127">
        <v>52400</v>
      </c>
    </row>
    <row r="86" spans="3:12" ht="9" customHeight="1">
      <c r="C86" s="578" t="s">
        <v>1881</v>
      </c>
      <c r="D86" s="1127">
        <v>60200</v>
      </c>
    </row>
    <row r="87" spans="3:12" ht="9" customHeight="1">
      <c r="C87" s="578" t="s">
        <v>1340</v>
      </c>
      <c r="D87" s="1127">
        <v>47500</v>
      </c>
    </row>
    <row r="88" spans="3:12" ht="9" customHeight="1">
      <c r="C88" s="578" t="s">
        <v>1660</v>
      </c>
      <c r="D88" s="1127">
        <v>44900</v>
      </c>
    </row>
    <row r="89" spans="3:12" ht="9" customHeight="1">
      <c r="C89" s="577" t="s">
        <v>1341</v>
      </c>
      <c r="D89" s="1127">
        <v>54100</v>
      </c>
    </row>
    <row r="90" spans="3:12" ht="9" customHeight="1">
      <c r="C90" s="578" t="s">
        <v>2184</v>
      </c>
      <c r="D90" s="1127">
        <v>40400</v>
      </c>
    </row>
    <row r="91" spans="3:12" ht="9" customHeight="1">
      <c r="C91" s="577" t="s">
        <v>2020</v>
      </c>
      <c r="D91" s="1127">
        <v>53200</v>
      </c>
    </row>
    <row r="92" spans="3:12" ht="9" customHeight="1">
      <c r="C92" s="578" t="s">
        <v>1343</v>
      </c>
      <c r="D92" s="1127">
        <v>47200</v>
      </c>
    </row>
    <row r="93" spans="3:12" ht="9" customHeight="1">
      <c r="C93" s="578" t="s">
        <v>3132</v>
      </c>
      <c r="D93" s="1127">
        <v>63600</v>
      </c>
    </row>
    <row r="94" spans="3:12" ht="9" customHeight="1">
      <c r="C94" s="578" t="s">
        <v>3898</v>
      </c>
      <c r="D94" s="1127">
        <v>52500</v>
      </c>
    </row>
    <row r="95" spans="3:12" ht="9" customHeight="1">
      <c r="C95" s="577" t="s">
        <v>3398</v>
      </c>
      <c r="D95" s="1127">
        <v>52400</v>
      </c>
    </row>
    <row r="96" spans="3:12" ht="9" customHeight="1">
      <c r="C96" s="577" t="s">
        <v>2026</v>
      </c>
      <c r="D96" s="1127">
        <v>59000</v>
      </c>
    </row>
    <row r="97" spans="3:4" ht="9" customHeight="1">
      <c r="C97" s="577" t="s">
        <v>2712</v>
      </c>
      <c r="D97" s="1127">
        <v>48300</v>
      </c>
    </row>
    <row r="98" spans="3:4" ht="9" customHeight="1">
      <c r="C98" s="577" t="s">
        <v>2725</v>
      </c>
      <c r="D98" s="1127">
        <v>66000</v>
      </c>
    </row>
    <row r="99" spans="3:4" ht="9" customHeight="1">
      <c r="C99" s="578" t="s">
        <v>1872</v>
      </c>
      <c r="D99" s="1127">
        <v>43400</v>
      </c>
    </row>
    <row r="100" spans="3:4" ht="9" customHeight="1">
      <c r="C100" s="578" t="s">
        <v>2806</v>
      </c>
      <c r="D100" s="1127">
        <v>40600</v>
      </c>
    </row>
    <row r="101" spans="3:4" ht="9" customHeight="1">
      <c r="C101" s="578" t="s">
        <v>2808</v>
      </c>
      <c r="D101" s="1127">
        <v>40600</v>
      </c>
    </row>
    <row r="102" spans="3:4" ht="9" customHeight="1">
      <c r="C102" s="577" t="s">
        <v>212</v>
      </c>
      <c r="D102" s="1127">
        <v>51900</v>
      </c>
    </row>
    <row r="103" spans="3:4" ht="9" customHeight="1">
      <c r="C103" s="578" t="s">
        <v>2012</v>
      </c>
      <c r="D103" s="1127">
        <v>53700</v>
      </c>
    </row>
    <row r="104" spans="3:4" ht="9" customHeight="1">
      <c r="C104" s="578" t="s">
        <v>1661</v>
      </c>
      <c r="D104" s="1127">
        <v>41100</v>
      </c>
    </row>
    <row r="105" spans="3:4" ht="9" customHeight="1">
      <c r="C105" s="578" t="s">
        <v>2018</v>
      </c>
      <c r="D105" s="1127">
        <v>43100</v>
      </c>
    </row>
    <row r="106" spans="3:4" ht="9" customHeight="1">
      <c r="C106" s="577" t="s">
        <v>2022</v>
      </c>
      <c r="D106" s="1127">
        <v>51100</v>
      </c>
    </row>
    <row r="107" spans="3:4" ht="9" customHeight="1">
      <c r="C107" s="577" t="s">
        <v>2028</v>
      </c>
      <c r="D107" s="1127">
        <v>53600</v>
      </c>
    </row>
    <row r="108" spans="3:4" ht="9" customHeight="1">
      <c r="C108" s="578" t="s">
        <v>2033</v>
      </c>
      <c r="D108" s="1127">
        <v>38600</v>
      </c>
    </row>
    <row r="109" spans="3:4" ht="9" customHeight="1">
      <c r="C109" s="577" t="s">
        <v>1218</v>
      </c>
      <c r="D109" s="1127">
        <v>56000</v>
      </c>
    </row>
    <row r="110" spans="3:4" ht="9" customHeight="1">
      <c r="C110" s="578" t="s">
        <v>1220</v>
      </c>
      <c r="D110" s="1127">
        <v>38200</v>
      </c>
    </row>
    <row r="111" spans="3:4" ht="9" customHeight="1">
      <c r="C111" s="578" t="s">
        <v>214</v>
      </c>
      <c r="D111" s="1127">
        <v>41600</v>
      </c>
    </row>
    <row r="112" spans="3:4" ht="9" customHeight="1">
      <c r="C112" s="578" t="s">
        <v>219</v>
      </c>
      <c r="D112" s="1127">
        <v>45100</v>
      </c>
    </row>
    <row r="113" spans="3:4" ht="9" customHeight="1">
      <c r="C113" s="578" t="s">
        <v>3756</v>
      </c>
      <c r="D113" s="1127">
        <v>34600</v>
      </c>
    </row>
    <row r="114" spans="3:4" ht="9" customHeight="1">
      <c r="C114" s="578" t="s">
        <v>3759</v>
      </c>
      <c r="D114" s="1127">
        <v>39500</v>
      </c>
    </row>
    <row r="115" spans="3:4" ht="9" customHeight="1">
      <c r="C115" s="578" t="s">
        <v>3762</v>
      </c>
      <c r="D115" s="1127">
        <v>44700</v>
      </c>
    </row>
    <row r="116" spans="3:4" ht="9" customHeight="1">
      <c r="C116" s="578" t="s">
        <v>3814</v>
      </c>
      <c r="D116" s="1127">
        <v>43300</v>
      </c>
    </row>
    <row r="117" spans="3:4" ht="9" customHeight="1">
      <c r="C117" s="578" t="s">
        <v>3817</v>
      </c>
      <c r="D117" s="1127">
        <v>39600</v>
      </c>
    </row>
    <row r="118" spans="3:4" ht="9" customHeight="1">
      <c r="C118" s="578" t="s">
        <v>251</v>
      </c>
      <c r="D118" s="1127">
        <v>40700</v>
      </c>
    </row>
    <row r="119" spans="3:4" ht="9" customHeight="1">
      <c r="C119" s="578" t="s">
        <v>255</v>
      </c>
      <c r="D119" s="1127">
        <v>40600</v>
      </c>
    </row>
    <row r="120" spans="3:4" ht="9" customHeight="1">
      <c r="C120" s="578" t="s">
        <v>1547</v>
      </c>
      <c r="D120" s="1127">
        <v>43200</v>
      </c>
    </row>
    <row r="121" spans="3:4" ht="9" customHeight="1">
      <c r="C121" s="578" t="s">
        <v>1549</v>
      </c>
      <c r="D121" s="1127">
        <v>44000</v>
      </c>
    </row>
    <row r="122" spans="3:4" ht="9" customHeight="1">
      <c r="C122" s="578" t="s">
        <v>1465</v>
      </c>
      <c r="D122" s="1127">
        <v>38800</v>
      </c>
    </row>
    <row r="123" spans="3:4" ht="9" customHeight="1">
      <c r="C123" s="578" t="s">
        <v>1469</v>
      </c>
      <c r="D123" s="1127">
        <v>42000</v>
      </c>
    </row>
    <row r="124" spans="3:4" ht="9" customHeight="1">
      <c r="C124" s="578" t="s">
        <v>3370</v>
      </c>
      <c r="D124" s="1127">
        <v>38500</v>
      </c>
    </row>
    <row r="125" spans="3:4" ht="9" customHeight="1">
      <c r="C125" s="578" t="s">
        <v>997</v>
      </c>
      <c r="D125" s="1127">
        <v>38700</v>
      </c>
    </row>
    <row r="126" spans="3:4" ht="9" customHeight="1">
      <c r="C126" s="578" t="s">
        <v>999</v>
      </c>
      <c r="D126" s="1127">
        <v>43600</v>
      </c>
    </row>
    <row r="127" spans="3:4" ht="9" customHeight="1">
      <c r="C127" s="577" t="s">
        <v>1004</v>
      </c>
      <c r="D127" s="1127">
        <v>46700</v>
      </c>
    </row>
    <row r="128" spans="3:4" ht="9" customHeight="1">
      <c r="C128" s="578" t="s">
        <v>1006</v>
      </c>
      <c r="D128" s="1127">
        <v>46600</v>
      </c>
    </row>
    <row r="129" spans="3:4" ht="9" customHeight="1">
      <c r="C129" s="577" t="s">
        <v>1008</v>
      </c>
      <c r="D129" s="1127">
        <v>45500</v>
      </c>
    </row>
    <row r="130" spans="3:4" ht="9" customHeight="1">
      <c r="C130" s="578" t="s">
        <v>1011</v>
      </c>
      <c r="D130" s="1127">
        <v>53200</v>
      </c>
    </row>
    <row r="131" spans="3:4" ht="9" customHeight="1">
      <c r="C131" s="578" t="s">
        <v>1013</v>
      </c>
      <c r="D131" s="1127">
        <v>42600</v>
      </c>
    </row>
    <row r="132" spans="3:4" ht="9" customHeight="1">
      <c r="C132" s="578" t="s">
        <v>1015</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2178</v>
      </c>
      <c r="D142" s="1127">
        <v>47600</v>
      </c>
    </row>
    <row r="143" spans="3:4" ht="9" customHeight="1">
      <c r="C143" s="578" t="s">
        <v>2182</v>
      </c>
      <c r="D143" s="1127">
        <v>45600</v>
      </c>
    </row>
    <row r="144" spans="3:4" ht="9" customHeight="1">
      <c r="C144" s="577" t="s">
        <v>234</v>
      </c>
      <c r="D144" s="1127">
        <v>57700</v>
      </c>
    </row>
    <row r="145" spans="3:4" ht="9" customHeight="1">
      <c r="C145" s="578" t="s">
        <v>235</v>
      </c>
      <c r="D145" s="1127">
        <v>36600</v>
      </c>
    </row>
    <row r="146" spans="3:4" ht="9" customHeight="1">
      <c r="C146" s="578" t="s">
        <v>2538</v>
      </c>
      <c r="D146" s="1127">
        <v>39700</v>
      </c>
    </row>
    <row r="147" spans="3:4" ht="9" customHeight="1">
      <c r="C147" s="578" t="s">
        <v>2540</v>
      </c>
      <c r="D147" s="1127">
        <v>38900</v>
      </c>
    </row>
    <row r="148" spans="3:4" ht="9" customHeight="1">
      <c r="C148" s="578" t="s">
        <v>242</v>
      </c>
      <c r="D148" s="1127">
        <v>47800</v>
      </c>
    </row>
    <row r="149" spans="3:4" ht="9" customHeight="1">
      <c r="C149" s="577" t="s">
        <v>3896</v>
      </c>
      <c r="D149" s="1127">
        <v>57400</v>
      </c>
    </row>
    <row r="150" spans="3:4" ht="9" customHeight="1">
      <c r="C150" s="578" t="s">
        <v>1722</v>
      </c>
      <c r="D150" s="1127">
        <v>53100</v>
      </c>
    </row>
    <row r="151" spans="3:4" ht="9" customHeight="1">
      <c r="C151" s="578" t="s">
        <v>1725</v>
      </c>
      <c r="D151" s="1127">
        <v>44700</v>
      </c>
    </row>
    <row r="152" spans="3:4" ht="9" customHeight="1">
      <c r="C152" s="578" t="s">
        <v>1728</v>
      </c>
      <c r="D152" s="1127">
        <v>46200</v>
      </c>
    </row>
    <row r="153" spans="3:4" ht="9" customHeight="1">
      <c r="C153" s="577" t="s">
        <v>1730</v>
      </c>
      <c r="D153" s="1127">
        <v>48500</v>
      </c>
    </row>
    <row r="154" spans="3:4" ht="9" customHeight="1">
      <c r="C154" s="577" t="s">
        <v>1732</v>
      </c>
      <c r="D154" s="1127">
        <v>53900</v>
      </c>
    </row>
    <row r="155" spans="3:4" ht="9" customHeight="1">
      <c r="C155" s="578" t="s">
        <v>1734</v>
      </c>
      <c r="D155" s="1127">
        <v>38200</v>
      </c>
    </row>
    <row r="156" spans="3:4" ht="9" customHeight="1">
      <c r="C156" s="578" t="s">
        <v>1736</v>
      </c>
      <c r="D156" s="1127">
        <v>49800</v>
      </c>
    </row>
    <row r="157" spans="3:4" ht="9" customHeight="1">
      <c r="C157" s="578" t="s">
        <v>1738</v>
      </c>
      <c r="D157" s="1127">
        <v>37700</v>
      </c>
    </row>
    <row r="158" spans="3:4" ht="9" customHeight="1">
      <c r="C158" s="578" t="s">
        <v>3273</v>
      </c>
      <c r="D158" s="1127">
        <v>45000</v>
      </c>
    </row>
    <row r="159" spans="3:4" ht="9" customHeight="1">
      <c r="C159" s="578" t="s">
        <v>3275</v>
      </c>
      <c r="D159" s="1127">
        <v>43200</v>
      </c>
    </row>
    <row r="160" spans="3:4" ht="9" customHeight="1">
      <c r="C160" s="577" t="s">
        <v>3277</v>
      </c>
      <c r="D160" s="1127">
        <v>41400</v>
      </c>
    </row>
    <row r="161" spans="3:4" ht="9" customHeight="1">
      <c r="C161" s="577" t="s">
        <v>3280</v>
      </c>
      <c r="D161" s="1127">
        <v>44400</v>
      </c>
    </row>
    <row r="162" spans="3:4" ht="9" customHeight="1">
      <c r="C162" s="578" t="s">
        <v>3282</v>
      </c>
      <c r="D162" s="1127">
        <v>36800</v>
      </c>
    </row>
    <row r="163" spans="3:4" ht="9" customHeight="1">
      <c r="C163" s="578" t="s">
        <v>3284</v>
      </c>
      <c r="D163" s="1127">
        <v>43800</v>
      </c>
    </row>
    <row r="164" spans="3:4" ht="9" customHeight="1">
      <c r="C164" s="578" t="s">
        <v>3286</v>
      </c>
      <c r="D164" s="1127">
        <v>43800</v>
      </c>
    </row>
    <row r="165" spans="3:4" ht="9" customHeight="1">
      <c r="C165" s="578" t="s">
        <v>3288</v>
      </c>
      <c r="D165" s="1127">
        <v>34600</v>
      </c>
    </row>
    <row r="166" spans="3:4" ht="9" customHeight="1">
      <c r="C166" s="578" t="s">
        <v>3290</v>
      </c>
      <c r="D166" s="1127">
        <v>44700</v>
      </c>
    </row>
    <row r="167" spans="3:4" ht="9" customHeight="1">
      <c r="C167" s="578" t="s">
        <v>1460</v>
      </c>
      <c r="D167" s="1127">
        <v>37300</v>
      </c>
    </row>
    <row r="168" spans="3:4" ht="9" customHeight="1">
      <c r="C168" s="578" t="s">
        <v>1462</v>
      </c>
      <c r="D168" s="1127">
        <v>40500</v>
      </c>
    </row>
    <row r="169" spans="3:4" ht="9" customHeight="1">
      <c r="C169" s="577" t="s">
        <v>2662</v>
      </c>
      <c r="D169" s="1127">
        <v>49300</v>
      </c>
    </row>
    <row r="170" spans="3:4" ht="9" customHeight="1">
      <c r="C170" s="577" t="s">
        <v>2977</v>
      </c>
      <c r="D170" s="1127">
        <v>48600</v>
      </c>
    </row>
    <row r="171" spans="3:4" ht="9" customHeight="1">
      <c r="C171" s="577" t="s">
        <v>2979</v>
      </c>
      <c r="D171" s="1127">
        <v>42900</v>
      </c>
    </row>
    <row r="172" spans="3:4" ht="9" customHeight="1">
      <c r="C172" s="577" t="s">
        <v>2981</v>
      </c>
      <c r="D172" s="1127">
        <v>46400</v>
      </c>
    </row>
    <row r="173" spans="3:4" ht="9" customHeight="1">
      <c r="C173" s="577" t="s">
        <v>2983</v>
      </c>
      <c r="D173" s="1127">
        <v>40700</v>
      </c>
    </row>
    <row r="174" spans="3:4" ht="9" customHeight="1">
      <c r="C174" s="578" t="s">
        <v>2985</v>
      </c>
      <c r="D174" s="1127">
        <v>51700</v>
      </c>
    </row>
    <row r="175" spans="3:4" ht="9" customHeight="1">
      <c r="C175" s="577" t="s">
        <v>2987</v>
      </c>
      <c r="D175" s="1127">
        <v>39100</v>
      </c>
    </row>
    <row r="176" spans="3:4" ht="9" customHeight="1">
      <c r="C176" s="577" t="s">
        <v>2990</v>
      </c>
      <c r="D176" s="1127">
        <v>49500</v>
      </c>
    </row>
    <row r="177" spans="3:4" ht="9" customHeight="1">
      <c r="C177" s="578" t="s">
        <v>3084</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3629</v>
      </c>
      <c r="D185" s="1127">
        <v>43500</v>
      </c>
    </row>
    <row r="186" spans="3:4" ht="9" customHeight="1">
      <c r="C186" s="577" t="s">
        <v>3631</v>
      </c>
      <c r="D186" s="1127">
        <v>45100</v>
      </c>
    </row>
    <row r="187" spans="3:4" ht="9" customHeight="1">
      <c r="C187" s="577" t="s">
        <v>3633</v>
      </c>
      <c r="D187" s="1127">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1589</v>
      </c>
    </row>
    <row r="2" spans="1:2">
      <c r="A2" s="748" t="str">
        <f>'Part I-Project Information'!F22</f>
        <v xml:space="preserve">Briarcliff Summit Apartments </v>
      </c>
    </row>
    <row r="3" spans="1:2">
      <c r="A3" s="748" t="str">
        <f>CONCATENATE('Part I-Project Information'!F24,", ", 'Part I-Project Information'!J25," County")</f>
        <v>Atlanta, Fulton County</v>
      </c>
    </row>
    <row r="4" spans="1:2" ht="12" customHeight="1"/>
    <row r="5" spans="1:2" ht="111" customHeight="1">
      <c r="A5" s="748" t="str">
        <f>'Project Narrative'!A5</f>
        <v xml:space="preserve">
Briarcliff Summit Apartments, located at 1050 Ponce De Leon Avenue NE, Atlanta, Georgia, was originally built in 1923 as a hotel.  It was converted into its current use, as affordable elderly housing, in the 1980s.  The property was refinanced with bonds and 4% Tax Credits in 1993 and has now completed its Tax Credit compliance period.  The property has historical significance within the neighborhood and has been listed on the National Register of Historic Places since 1982.  Since its conversion to low-income housing, Briarcliff Summit has served low and very low income elderly (aged 62+) and disabled individuals in a mix of efficiency, one bedroom and two bedroom units.  There are a total of 201-units at the property of which 89 are efficiency units, 86 are one bedroom units and 26 are two bedroom units.  The property has a HUD project-based Section 8 contract that serves 99% of the units, enabling the property to serve the lowest income population.  More than half of the existing residents are disabled.  The disabilities range from physical handicaps to mental health and substance abuse challenges.
</v>
      </c>
      <c r="B5" s="748" t="s">
        <v>1590</v>
      </c>
    </row>
    <row r="6" spans="1:2" ht="6.6" customHeight="1"/>
    <row r="7" spans="1:2" ht="111" customHeight="1">
      <c r="A7" s="748" t="str">
        <f>'Project Narrative'!A7</f>
        <v xml:space="preserve">Evergreen Partners  plans to acquire, renovate and stabilize Briarcliff Summit Apartments. The property currently suffers from substantial deferred maintenance and is need of comprehensive rehabilitation.  The renovation will also improve and stabilize the property’s prominent historic features, making a significant and positive visual impact for the community.  The property is a critical source of deeply affordable housing in an ideal location that would be impossible to replicate if Briarcliff is lost from the affordable inventory.  Given the age and vulnerable nature of the population, without this unique housing resource many of the residents would certainly be at-risk of becoming homeless or forced to live in substandard housing conditions.  </v>
      </c>
    </row>
    <row r="8" spans="1:2" ht="6.6" customHeight="1"/>
    <row r="9" spans="1:2" ht="111" customHeight="1">
      <c r="A9" s="748" t="str">
        <f>'Project Narrative'!A9</f>
        <v>Local officials, advocates and community representatives are aware of Briarcliff’s deterioration and of its value as a unique housing resource.  The sustained and vocal support shown by the City, Atlanta Development Authority and the Virginia Highlands Civic Association attest to this.  Most notably, HUD has designated Briarcliff as their “High Priority” property for the 2011 funding round.</v>
      </c>
    </row>
    <row r="10" spans="1:2" ht="6.6" customHeight="1"/>
    <row r="11" spans="1:2" ht="111" customHeight="1">
      <c r="A11" s="748" t="str">
        <f>'Project Narrative'!A11</f>
        <v xml:space="preserve">The conversion of Briarcliff to a conventional use at some point in the future is a highly plausible threat.  The existing Section 8 contract can be terminated by the owner at each annual anniversary.  (Please see Regulatory History/Status description included in Tab 39-A)  Several of the principals in the current ownership group had bought into the property only six years ago with the intention of converting the building to condominium use at the end of the (now expired) tax credit compliance period.  The economic crisis of the past few years has certainly dampened that prospect.  However, because of the property’s urgent and mounting physical needs, the current owner needs to achieve a recapitalization through one approach or another.  Evergreen has applied for a Tax Credit allocation in the 2010 Round, but was not successful.  When the results of the 2010 round were announced, the owner proceeded to list the property for sale with a broker, creating significant alarm among the residents and the advocate community.  During the short period of time that the property was listed, there was considerable interest from buyers who would seek to convert the property.  The complexity of such a conversion and the modest tenor of the economic recovery did introduce some uncertainty into this prospect, at least for the short run. Evergreen was narrowly able to convince the owner that making another attempt at Tax Credits is their better alternative.   </v>
      </c>
    </row>
    <row r="12" spans="1:2" ht="6.6" customHeight="1"/>
    <row r="13" spans="1:2" ht="111" customHeight="1">
      <c r="A13" s="748" t="str">
        <f>'Project Narrative'!A13</f>
        <v>The renovation plan for Briarcliff Summit is budgeted at approximately $57,000 per unit and will address all major building systems, improving the living conditions for the residents and bringing the building up to today’s modern and energy efficient standards.  The following items will be replaced as part of the renovation: kitchens, bathrooms, flooring, heating and cooling system, lighting, windows and roofing.  Evergreen will participate in Enterprise’s Green Communities Program, and will implement a number of energy efficient and green building measures as part of the renovation.  New project amenities will be added as well, including; a Community Room, Wellness Center, Fitness Center, Computer Lab, Arts &amp; Crafts Room, on-site resident service coordinator and a new security camera system.</v>
      </c>
    </row>
    <row r="14" spans="1:2" ht="6.6" customHeight="1"/>
    <row r="15" spans="1:2" ht="111" customHeight="1">
      <c r="A15" s="748" t="str">
        <f>'Project Narrative'!A15</f>
        <v>The total re-development cost will be exceed $27.5MM.  Approximately $7.1MM of this cost will be financed with an FHA insured 221(d)(4) first mortgage loan.  HUD has been extremely supportive of the loan application, and the preservation effort as a whole.  A $1.5MM low-interest second mortgage loan will be obtained from the Atlanta Development Authority through their Housing Opportunity Bond Program.  Nearly $15.1MM in equity will be raised from the sale of Federal and State low-income housing tax credits.  An additional $2.8MM will be raised from the sale of historic tax credits that the property is qualified to receive.  The remaining sources will be funded by project income during construction and a deferred development fee note issued by the developer.</v>
      </c>
    </row>
    <row r="16" spans="1:2" ht="6.6" customHeight="1"/>
    <row r="17" spans="1:13" ht="111" customHeight="1">
      <c r="A17" s="748" t="str">
        <f>'Project Narrative'!A17</f>
        <v xml:space="preserve">Eighty-five percent of the apartments will be restricted to tax credit eligible elderly tenants earning a maximum of 60% of area median income, and the balance (15%) will be set-aside to serve elderly individuals earning 50% or less of area median income.  As noted above, the property has an existing project-based Section 8 contact covering 99% of the units.  This contract is currently being renewed for single year terms.  As part of the preservation effort, Evergreen will enter into a new twenty-year contract with HUD, ensuring that long-term deep subsidy affordability remains in place for the residents.  </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4107</v>
      </c>
      <c r="M32" s="748" t="s">
        <v>2728</v>
      </c>
    </row>
    <row r="33" spans="1:15" ht="12" customHeight="1">
      <c r="E33" s="748" t="s">
        <v>4108</v>
      </c>
      <c r="O33" s="748" t="str">
        <f>'Part I-Project Information'!$O$4</f>
        <v>2011-015</v>
      </c>
    </row>
    <row r="34" spans="1:15" ht="12" customHeight="1"/>
    <row r="35" spans="1:15" ht="13.15" customHeight="1">
      <c r="A35" s="748" t="s">
        <v>949</v>
      </c>
      <c r="C35" s="748" t="s">
        <v>3588</v>
      </c>
      <c r="F35" s="748" t="s">
        <v>2739</v>
      </c>
      <c r="J35" s="748">
        <f>'Part IV-Uses of Funds'!J194</f>
        <v>0</v>
      </c>
    </row>
    <row r="36" spans="1:15" ht="13.15" customHeight="1">
      <c r="F36" s="748" t="s">
        <v>1981</v>
      </c>
      <c r="J36" s="748">
        <f>'Part III A-Sources of Funds'!J34</f>
        <v>0</v>
      </c>
    </row>
    <row r="37" spans="1:15" ht="7.15" customHeight="1"/>
    <row r="38" spans="1:15" ht="13.15" customHeight="1">
      <c r="A38" s="748" t="s">
        <v>1228</v>
      </c>
      <c r="C38" s="748" t="s">
        <v>3130</v>
      </c>
      <c r="F38" s="748" t="str">
        <f>'Part I-Project Information'!$F$9</f>
        <v>Competitive Round</v>
      </c>
      <c r="I38" s="748" t="s">
        <v>1229</v>
      </c>
      <c r="J38" s="748">
        <f>'Part I-Project Information'!$J$9</f>
        <v>0</v>
      </c>
    </row>
    <row r="39" spans="1:15" ht="7.15" customHeight="1"/>
    <row r="40" spans="1:15" ht="13.15" customHeight="1">
      <c r="A40" s="748" t="s">
        <v>1230</v>
      </c>
      <c r="C40" s="748" t="s">
        <v>2205</v>
      </c>
    </row>
    <row r="41" spans="1:15" ht="3" customHeight="1"/>
    <row r="42" spans="1:15" ht="13.15" customHeight="1">
      <c r="C42" s="748" t="s">
        <v>3440</v>
      </c>
      <c r="F42" s="748" t="str">
        <f>'Part I-Project Information'!$F$13</f>
        <v xml:space="preserve">Nick Bouquet </v>
      </c>
      <c r="M42" s="748" t="s">
        <v>3055</v>
      </c>
      <c r="N42" s="748" t="str">
        <f>'Part I-Project Information'!N13</f>
        <v xml:space="preserve">Development Associate </v>
      </c>
    </row>
    <row r="43" spans="1:15" ht="13.15" customHeight="1">
      <c r="C43" s="748" t="s">
        <v>3056</v>
      </c>
      <c r="F43" s="748" t="str">
        <f>'Part I-Project Information'!$F$14</f>
        <v xml:space="preserve">261 Gorham Road </v>
      </c>
      <c r="M43" s="748" t="s">
        <v>2745</v>
      </c>
      <c r="O43" s="748">
        <f>'Part I-Project Information'!O14</f>
        <v>2077746989</v>
      </c>
    </row>
    <row r="44" spans="1:15" ht="13.15" customHeight="1">
      <c r="C44" s="748" t="s">
        <v>952</v>
      </c>
      <c r="F44" s="748" t="str">
        <f>'Part I-Project Information'!$F$15</f>
        <v>South Portland</v>
      </c>
      <c r="M44" s="748" t="s">
        <v>2832</v>
      </c>
      <c r="O44" s="748">
        <f>'Part I-Project Information'!O15</f>
        <v>2077746998</v>
      </c>
    </row>
    <row r="45" spans="1:15" ht="13.15" customHeight="1">
      <c r="C45" s="748" t="s">
        <v>2829</v>
      </c>
      <c r="F45" s="748" t="str">
        <f>'Part I-Project Information'!$F$16</f>
        <v>ME</v>
      </c>
      <c r="I45" s="748" t="s">
        <v>3352</v>
      </c>
      <c r="J45" s="748">
        <f>'Part I-Project Information'!J16</f>
        <v>41062408</v>
      </c>
      <c r="M45" s="748" t="s">
        <v>3054</v>
      </c>
      <c r="O45" s="748">
        <f>'Part I-Project Information'!O16</f>
        <v>2073290188</v>
      </c>
    </row>
    <row r="46" spans="1:15" ht="13.15" customHeight="1">
      <c r="C46" s="748" t="s">
        <v>2744</v>
      </c>
      <c r="F46" s="748">
        <f>'Part I-Project Information'!F17</f>
        <v>2077746989</v>
      </c>
      <c r="I46" s="748" t="s">
        <v>2743</v>
      </c>
      <c r="J46" s="748">
        <f>'Part I-Project Information'!J17</f>
        <v>228</v>
      </c>
      <c r="K46" s="748" t="s">
        <v>3059</v>
      </c>
      <c r="L46" s="748" t="str">
        <f>'Part I-Project Information'!L17</f>
        <v>nbouquet@evergreenpartnershousing.com</v>
      </c>
    </row>
    <row r="47" spans="1:15" ht="13.15" customHeight="1">
      <c r="C47" s="748" t="s">
        <v>996</v>
      </c>
    </row>
    <row r="48" spans="1:15" ht="7.15" customHeight="1"/>
    <row r="49" spans="1:16" ht="13.15" customHeight="1">
      <c r="A49" s="748" t="s">
        <v>2822</v>
      </c>
      <c r="C49" s="748" t="s">
        <v>2206</v>
      </c>
    </row>
    <row r="50" spans="1:16" ht="3" customHeight="1"/>
    <row r="51" spans="1:16" ht="13.15" customHeight="1">
      <c r="C51" s="748" t="s">
        <v>950</v>
      </c>
      <c r="F51" s="748" t="str">
        <f>'Part I-Project Information'!F22</f>
        <v xml:space="preserve">Briarcliff Summit Apartments </v>
      </c>
      <c r="M51" s="748" t="s">
        <v>3298</v>
      </c>
      <c r="O51" s="748" t="str">
        <f>'Part I-Project Information'!O22</f>
        <v>No</v>
      </c>
    </row>
    <row r="52" spans="1:16" ht="13.15" customHeight="1">
      <c r="C52" s="748" t="s">
        <v>951</v>
      </c>
      <c r="F52" s="748" t="str">
        <f>'Part I-Project Information'!F23</f>
        <v>1050 Ponce de Leon Avenue NE</v>
      </c>
      <c r="M52" s="748" t="s">
        <v>3144</v>
      </c>
      <c r="O52" s="748" t="str">
        <f>'Part I-Project Information'!O23</f>
        <v>No</v>
      </c>
    </row>
    <row r="53" spans="1:16" ht="13.15" customHeight="1">
      <c r="C53" s="748" t="s">
        <v>952</v>
      </c>
      <c r="F53" s="748" t="str">
        <f>'Part I-Project Information'!F24</f>
        <v>Atlanta</v>
      </c>
      <c r="I53" s="748" t="s">
        <v>4109</v>
      </c>
      <c r="J53" s="748">
        <f>'Part I-Project Information'!J24</f>
        <v>303064230</v>
      </c>
      <c r="L53" s="748" t="str">
        <f>IF(AND(NOT(F51=""),NOT(F53="Select from list"),J53=""),"Enter Zip!","")</f>
        <v/>
      </c>
      <c r="M53" s="748" t="s">
        <v>3414</v>
      </c>
      <c r="O53" s="748">
        <f>'Part I-Project Information'!O24</f>
        <v>1.2</v>
      </c>
    </row>
    <row r="54" spans="1:16" ht="13.15" customHeight="1">
      <c r="C54" s="748" t="s">
        <v>3143</v>
      </c>
      <c r="F54" s="748" t="str">
        <f>'Part I-Project Information'!F25</f>
        <v>Yes</v>
      </c>
      <c r="I54" s="748" t="s">
        <v>953</v>
      </c>
      <c r="J54" s="748" t="str">
        <f>'Part I-Project Information'!J25</f>
        <v>Fulton</v>
      </c>
      <c r="M54" s="748" t="s">
        <v>3433</v>
      </c>
      <c r="O54" s="748">
        <f>'Part I-Project Information'!O25</f>
        <v>15</v>
      </c>
    </row>
    <row r="55" spans="1:16" ht="13.15" customHeight="1">
      <c r="C55" s="748" t="s">
        <v>2312</v>
      </c>
      <c r="F55" s="748" t="str">
        <f>'Part I-Project Information'!F26</f>
        <v>No</v>
      </c>
      <c r="I55" s="748" t="s">
        <v>884</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15" customHeight="1">
      <c r="F57" s="748" t="s">
        <v>4110</v>
      </c>
      <c r="H57" s="748" t="s">
        <v>1224</v>
      </c>
      <c r="J57" s="748" t="s">
        <v>1225</v>
      </c>
    </row>
    <row r="58" spans="1:16" ht="13.15" customHeight="1">
      <c r="C58" s="748" t="s">
        <v>954</v>
      </c>
      <c r="F58" s="748">
        <f>'Part I-Project Information'!F29</f>
        <v>5</v>
      </c>
      <c r="H58" s="748">
        <f>'Part I-Project Information'!H29</f>
        <v>36</v>
      </c>
      <c r="J58" s="748">
        <f>'Part I-Project Information'!J29</f>
        <v>57</v>
      </c>
    </row>
    <row r="59" spans="1:16" ht="13.15" customHeight="1">
      <c r="C59" s="748" t="s">
        <v>1226</v>
      </c>
      <c r="F59" s="748">
        <f>'Part I-Project Information'!F30</f>
        <v>0</v>
      </c>
      <c r="H59" s="748">
        <f>'Part I-Project Information'!H30</f>
        <v>0</v>
      </c>
      <c r="J59" s="748">
        <f>'Part I-Project Information'!J30</f>
        <v>0</v>
      </c>
    </row>
    <row r="60" spans="1:16" ht="3" customHeight="1"/>
    <row r="61" spans="1:16" ht="13.15" customHeight="1">
      <c r="C61" s="748" t="s">
        <v>972</v>
      </c>
      <c r="F61" s="748" t="str">
        <f>'Part I-Project Information'!F32</f>
        <v>City of Atlanta (www.atlantaga.gov)</v>
      </c>
    </row>
    <row r="62" spans="1:16" ht="13.15" customHeight="1">
      <c r="C62" s="748" t="s">
        <v>973</v>
      </c>
      <c r="F62" s="748" t="str">
        <f>'Part I-Project Information'!F33</f>
        <v xml:space="preserve">Kasim Read </v>
      </c>
      <c r="K62" s="748" t="s">
        <v>3055</v>
      </c>
      <c r="L62" s="748" t="str">
        <f>'Part I-Project Information'!L33</f>
        <v>Mayor</v>
      </c>
    </row>
    <row r="63" spans="1:16" ht="13.15" customHeight="1">
      <c r="C63" s="748" t="s">
        <v>3056</v>
      </c>
      <c r="F63" s="748" t="str">
        <f>'Part I-Project Information'!F34</f>
        <v xml:space="preserve">55 Trinity Avenue </v>
      </c>
      <c r="K63" s="748" t="s">
        <v>952</v>
      </c>
      <c r="L63" s="748" t="str">
        <f>'Part I-Project Information'!L34</f>
        <v xml:space="preserve">Atlanta </v>
      </c>
    </row>
    <row r="64" spans="1:16" ht="13.15" customHeight="1">
      <c r="C64" s="748" t="s">
        <v>3352</v>
      </c>
      <c r="F64" s="748">
        <f>'Part I-Project Information'!F35</f>
        <v>303033520</v>
      </c>
      <c r="H64" s="748" t="s">
        <v>3057</v>
      </c>
      <c r="I64" s="748">
        <f>'Part I-Project Information'!I35</f>
        <v>4043306100</v>
      </c>
      <c r="L64" s="748" t="s">
        <v>2832</v>
      </c>
      <c r="M64" s="748">
        <f>'Part I-Project Information'!M35</f>
        <v>4046586893</v>
      </c>
    </row>
    <row r="65" spans="1:16" ht="7.15" customHeight="1"/>
    <row r="66" spans="1:16" ht="13.15" customHeight="1">
      <c r="A66" s="748" t="s">
        <v>2824</v>
      </c>
      <c r="C66" s="748" t="s">
        <v>2207</v>
      </c>
      <c r="J66" s="748" t="s">
        <v>4111</v>
      </c>
    </row>
    <row r="67" spans="1:16" ht="3" customHeight="1"/>
    <row r="68" spans="1:16">
      <c r="B68" s="748" t="s">
        <v>3058</v>
      </c>
      <c r="C68" s="748" t="s">
        <v>3435</v>
      </c>
      <c r="F68" s="748" t="str">
        <f>'Part I-Project Information'!F39</f>
        <v>No</v>
      </c>
      <c r="J68" s="748" t="s">
        <v>1970</v>
      </c>
      <c r="L68" s="748" t="s">
        <v>1971</v>
      </c>
    </row>
    <row r="69" spans="1:16" ht="3" customHeight="1"/>
    <row r="70" spans="1:16" ht="13.15" customHeight="1">
      <c r="B70" s="748" t="s">
        <v>3061</v>
      </c>
      <c r="C70" s="748" t="s">
        <v>3597</v>
      </c>
      <c r="J70" s="748" t="s">
        <v>1974</v>
      </c>
      <c r="L70" s="748" t="s">
        <v>1969</v>
      </c>
    </row>
    <row r="71" spans="1:16" ht="13.15" customHeight="1">
      <c r="C71" s="748" t="s">
        <v>3434</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201</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201</v>
      </c>
    </row>
    <row r="76" spans="1:16" ht="3.6" customHeight="1"/>
    <row r="77" spans="1:16" ht="13.15" customHeight="1">
      <c r="B77" s="748" t="s">
        <v>1237</v>
      </c>
      <c r="C77" s="748" t="s">
        <v>3406</v>
      </c>
      <c r="I77" s="748" t="s">
        <v>2129</v>
      </c>
      <c r="J77" s="748" t="s">
        <v>3210</v>
      </c>
      <c r="K77" s="748" t="s">
        <v>3441</v>
      </c>
    </row>
    <row r="78" spans="1:16" ht="13.15" customHeight="1">
      <c r="C78" s="748" t="s">
        <v>3407</v>
      </c>
      <c r="H78" s="748">
        <f>SUM(H79:H80)</f>
        <v>200</v>
      </c>
      <c r="K78" s="748" t="s">
        <v>3442</v>
      </c>
      <c r="P78" s="748">
        <f>'Part VI-Revenues &amp; Expenses'!$M$94</f>
        <v>107522</v>
      </c>
    </row>
    <row r="79" spans="1:16" ht="13.15" customHeight="1">
      <c r="D79" s="748" t="s">
        <v>489</v>
      </c>
      <c r="H79" s="748">
        <f>'Part VI-Revenues &amp; Expenses'!$M$58</f>
        <v>31</v>
      </c>
      <c r="I79" s="748">
        <f>'Part VI-Revenues &amp; Expenses'!$M$66</f>
        <v>31</v>
      </c>
      <c r="K79" s="748" t="s">
        <v>326</v>
      </c>
      <c r="P79" s="748">
        <f>'Part VI-Revenues &amp; Expenses'!$M$95</f>
        <v>0</v>
      </c>
    </row>
    <row r="80" spans="1:16" ht="13.15" customHeight="1">
      <c r="D80" s="748" t="s">
        <v>2862</v>
      </c>
      <c r="H80" s="748">
        <f>'Part VI-Revenues &amp; Expenses'!$M$57</f>
        <v>169</v>
      </c>
      <c r="I80" s="748">
        <f>'Part VI-Revenues &amp; Expenses'!$M$65</f>
        <v>169</v>
      </c>
      <c r="K80" s="748" t="s">
        <v>3443</v>
      </c>
      <c r="P80" s="748">
        <f>+P78+P79</f>
        <v>107522</v>
      </c>
    </row>
    <row r="81" spans="1:16" ht="13.15" customHeight="1">
      <c r="C81" s="748" t="s">
        <v>327</v>
      </c>
      <c r="H81" s="748">
        <f>'Part VI-Revenues &amp; Expenses'!$M$60</f>
        <v>0</v>
      </c>
      <c r="K81" s="748" t="s">
        <v>2132</v>
      </c>
      <c r="P81" s="748">
        <f>'Part VI-Revenues &amp; Expenses'!$M$97</f>
        <v>0</v>
      </c>
    </row>
    <row r="82" spans="1:16" ht="13.15" customHeight="1">
      <c r="C82" s="748" t="s">
        <v>3648</v>
      </c>
      <c r="H82" s="748">
        <f>+H78+H81</f>
        <v>200</v>
      </c>
      <c r="K82" s="748" t="s">
        <v>2131</v>
      </c>
      <c r="P82" s="748">
        <f>+P80+P81</f>
        <v>107522</v>
      </c>
    </row>
    <row r="83" spans="1:16" ht="13.15" customHeight="1">
      <c r="C83" s="748" t="s">
        <v>3649</v>
      </c>
      <c r="H83" s="748">
        <f>'Part VI-Revenues &amp; Expenses'!$M$62</f>
        <v>1</v>
      </c>
    </row>
    <row r="84" spans="1:16" ht="13.15" customHeight="1">
      <c r="C84" s="748" t="s">
        <v>2823</v>
      </c>
      <c r="H84" s="748">
        <f>+H82+H83</f>
        <v>201</v>
      </c>
    </row>
    <row r="85" spans="1:16" ht="3" customHeight="1"/>
    <row r="86" spans="1:16" ht="13.15" customHeight="1">
      <c r="B86" s="748" t="s">
        <v>2761</v>
      </c>
      <c r="C86" s="748" t="s">
        <v>3436</v>
      </c>
      <c r="D86" s="748" t="s">
        <v>3072</v>
      </c>
      <c r="H86" s="748">
        <f>'Part I-Project Information'!H57</f>
        <v>1</v>
      </c>
      <c r="K86" s="748" t="s">
        <v>1758</v>
      </c>
      <c r="P86" s="748">
        <f>'Part I-Project Information'!P57</f>
        <v>55717</v>
      </c>
    </row>
    <row r="87" spans="1:16" ht="13.15" customHeight="1">
      <c r="D87" s="748" t="s">
        <v>3073</v>
      </c>
      <c r="H87" s="748">
        <f>'Part I-Project Information'!H58</f>
        <v>0</v>
      </c>
      <c r="K87" s="748" t="s">
        <v>325</v>
      </c>
      <c r="P87" s="748">
        <f>+P82+P86</f>
        <v>163239</v>
      </c>
    </row>
    <row r="88" spans="1:16" ht="13.15" customHeight="1">
      <c r="D88" s="748" t="s">
        <v>3074</v>
      </c>
      <c r="H88" s="748">
        <f>+H86+H87</f>
        <v>1</v>
      </c>
    </row>
    <row r="89" spans="1:16" ht="3" customHeight="1"/>
    <row r="90" spans="1:16" ht="13.15" customHeight="1">
      <c r="B90" s="748" t="s">
        <v>2762</v>
      </c>
      <c r="C90" s="748" t="s">
        <v>3598</v>
      </c>
      <c r="H90" s="748">
        <f>'Part I-Project Information'!H61</f>
        <v>40</v>
      </c>
    </row>
    <row r="91" spans="1:16" ht="9" customHeight="1"/>
    <row r="92" spans="1:16" ht="13.15" customHeight="1">
      <c r="A92" s="748" t="s">
        <v>821</v>
      </c>
      <c r="C92" s="748" t="s">
        <v>1835</v>
      </c>
    </row>
    <row r="93" spans="1:16" ht="3" customHeight="1"/>
    <row r="94" spans="1:16" ht="13.15" customHeight="1">
      <c r="B94" s="748" t="s">
        <v>3058</v>
      </c>
      <c r="C94" s="748" t="s">
        <v>2271</v>
      </c>
      <c r="H94" s="748" t="str">
        <f>'Part I-Project Information'!H65</f>
        <v>Senior (Elderly)</v>
      </c>
      <c r="K94" s="748" t="s">
        <v>2800</v>
      </c>
      <c r="N94" s="748">
        <f>'Part I-Project Information'!N65</f>
        <v>0</v>
      </c>
    </row>
    <row r="95" spans="1:16" ht="3" customHeight="1"/>
    <row r="96" spans="1:16" ht="13.15" customHeight="1">
      <c r="B96" s="748" t="s">
        <v>3061</v>
      </c>
      <c r="C96" s="748" t="s">
        <v>2120</v>
      </c>
      <c r="G96" s="748" t="s">
        <v>1377</v>
      </c>
      <c r="H96" s="748">
        <f>'Part I-Project Information'!H67</f>
        <v>14</v>
      </c>
      <c r="K96" s="748" t="s">
        <v>811</v>
      </c>
      <c r="P96" s="748">
        <f>IF('Part VI-Revenues &amp; Expenses'!$M$63=0,0,$H96/'Part VI-Revenues &amp; Expenses'!$M$63)</f>
        <v>6.965174129353234E-2</v>
      </c>
    </row>
    <row r="97" spans="1:16" ht="3" customHeight="1"/>
    <row r="98" spans="1:16" ht="13.15" customHeight="1">
      <c r="B98" s="748" t="s">
        <v>1237</v>
      </c>
      <c r="C98" s="748" t="s">
        <v>2889</v>
      </c>
      <c r="G98" s="748" t="s">
        <v>1377</v>
      </c>
      <c r="H98" s="748">
        <f>'Part I-Project Information'!H69</f>
        <v>4</v>
      </c>
      <c r="K98" s="748" t="s">
        <v>811</v>
      </c>
      <c r="P98" s="748">
        <f>IF('Part VI-Revenues &amp; Expenses'!$M$63=0,0,$H98/'Part VI-Revenues &amp; Expenses'!$M$63)</f>
        <v>1.9900497512437811E-2</v>
      </c>
    </row>
    <row r="99" spans="1:16" ht="3" customHeight="1"/>
    <row r="100" spans="1:16" ht="13.15" customHeight="1">
      <c r="B100" s="748" t="s">
        <v>3210</v>
      </c>
      <c r="C100" s="748" t="s">
        <v>1976</v>
      </c>
      <c r="G100" s="748" t="s">
        <v>1977</v>
      </c>
      <c r="H100" s="748">
        <f>'Part I-Project Information'!H71</f>
        <v>0</v>
      </c>
      <c r="K100" s="748" t="s">
        <v>811</v>
      </c>
      <c r="P100" s="748">
        <f>IF('Part VI-Revenues &amp; Expenses'!$M$63=0,0,$H100/'Part VI-Revenues &amp; Expenses'!$M$63)</f>
        <v>0</v>
      </c>
    </row>
    <row r="101" spans="1:16" ht="9" customHeight="1"/>
    <row r="102" spans="1:16" ht="13.15" customHeight="1">
      <c r="A102" s="748" t="s">
        <v>1346</v>
      </c>
      <c r="C102" s="748" t="s">
        <v>3590</v>
      </c>
    </row>
    <row r="103" spans="1:16" ht="3" customHeight="1"/>
    <row r="104" spans="1:16" ht="13.15" customHeight="1">
      <c r="B104" s="748" t="s">
        <v>3058</v>
      </c>
      <c r="C104" s="748" t="s">
        <v>3589</v>
      </c>
      <c r="H104" s="748" t="str">
        <f>'Part I-Project Information'!H75</f>
        <v>40% of Units at 60% of AMI</v>
      </c>
    </row>
    <row r="105" spans="1:16" ht="3" customHeight="1"/>
    <row r="106" spans="1:16" ht="13.15" customHeight="1">
      <c r="B106" s="748" t="s">
        <v>3061</v>
      </c>
      <c r="C106" s="748" t="s">
        <v>2284</v>
      </c>
      <c r="K106" s="748" t="s">
        <v>1458</v>
      </c>
      <c r="P106" s="748">
        <f>'Part I-Project Information'!P77</f>
        <v>0</v>
      </c>
    </row>
    <row r="107" spans="1:16" ht="9" customHeight="1"/>
    <row r="108" spans="1:16" ht="13.15" customHeight="1">
      <c r="A108" s="748" t="s">
        <v>385</v>
      </c>
      <c r="C108" s="748" t="s">
        <v>3131</v>
      </c>
    </row>
    <row r="109" spans="1:16" ht="3" customHeight="1"/>
    <row r="110" spans="1:16" ht="13.15" customHeight="1">
      <c r="E110" s="748">
        <f>'Part I-Project Information'!E81</f>
        <v>0</v>
      </c>
      <c r="F110" s="748" t="s">
        <v>3912</v>
      </c>
      <c r="H110" s="748">
        <f>'Part I-Project Information'!H81</f>
        <v>0</v>
      </c>
      <c r="I110" s="748" t="s">
        <v>3911</v>
      </c>
      <c r="K110" s="748">
        <f>'Part I-Project Information'!K81</f>
        <v>0</v>
      </c>
      <c r="L110" s="748" t="s">
        <v>144</v>
      </c>
    </row>
    <row r="111" spans="1:16" ht="13.15" customHeight="1">
      <c r="E111" s="748" t="str">
        <f>'Part I-Project Information'!E82</f>
        <v>Yes</v>
      </c>
      <c r="F111" s="748" t="s">
        <v>650</v>
      </c>
      <c r="H111" s="748">
        <f>'Part I-Project Information'!H82</f>
        <v>0</v>
      </c>
      <c r="I111" s="748" t="s">
        <v>3231</v>
      </c>
      <c r="K111" s="748">
        <f>'Part I-Project Information'!K82</f>
        <v>0</v>
      </c>
      <c r="L111" s="748" t="s">
        <v>3232</v>
      </c>
    </row>
    <row r="112" spans="1:16" ht="9" customHeight="1"/>
    <row r="113" spans="1:15" ht="13.15" customHeight="1">
      <c r="A113" s="748" t="s">
        <v>541</v>
      </c>
      <c r="C113" s="748" t="s">
        <v>1833</v>
      </c>
    </row>
    <row r="114" spans="1:15" ht="3" customHeight="1"/>
    <row r="115" spans="1:15" ht="13.15" customHeight="1">
      <c r="C115" s="748" t="s">
        <v>846</v>
      </c>
      <c r="E115" s="748">
        <f>'Part I-Project Information'!E86</f>
        <v>0</v>
      </c>
      <c r="M115" s="748" t="s">
        <v>847</v>
      </c>
      <c r="O115" s="748">
        <f>'Part I-Project Information'!O86</f>
        <v>0</v>
      </c>
    </row>
    <row r="116" spans="1:15" ht="13.15" customHeight="1">
      <c r="C116" s="748" t="s">
        <v>1640</v>
      </c>
      <c r="E116" s="748">
        <f>'Part I-Project Information'!E87</f>
        <v>0</v>
      </c>
      <c r="M116" s="748" t="s">
        <v>1389</v>
      </c>
      <c r="O116" s="748">
        <f>'Part I-Project Information'!O87</f>
        <v>0</v>
      </c>
    </row>
    <row r="117" spans="1:15" ht="13.15" customHeight="1">
      <c r="C117" s="748" t="s">
        <v>952</v>
      </c>
      <c r="E117" s="748">
        <f>'Part I-Project Information'!E88</f>
        <v>0</v>
      </c>
      <c r="H117" s="748" t="s">
        <v>2829</v>
      </c>
      <c r="I117" s="748">
        <f>'Part I-Project Information'!I88</f>
        <v>0</v>
      </c>
      <c r="J117" s="748" t="s">
        <v>3352</v>
      </c>
      <c r="K117" s="748">
        <f>'Part I-Project Information'!K88</f>
        <v>0</v>
      </c>
    </row>
    <row r="118" spans="1:15" ht="13.15" customHeight="1">
      <c r="C118" s="748" t="s">
        <v>3300</v>
      </c>
      <c r="E118" s="748">
        <f>'Part I-Project Information'!E89</f>
        <v>0</v>
      </c>
      <c r="H118" s="748" t="s">
        <v>3055</v>
      </c>
      <c r="I118" s="748">
        <f>'Part I-Project Information'!I89</f>
        <v>0</v>
      </c>
      <c r="L118" s="748" t="s">
        <v>3059</v>
      </c>
      <c r="M118" s="748">
        <f>'Part I-Project Information'!M89</f>
        <v>0</v>
      </c>
    </row>
    <row r="119" spans="1:15" ht="13.15" customHeight="1">
      <c r="C119" s="748" t="s">
        <v>3299</v>
      </c>
      <c r="E119" s="748">
        <f>'Part I-Project Information'!E90</f>
        <v>0</v>
      </c>
      <c r="H119" s="748" t="s">
        <v>2832</v>
      </c>
      <c r="I119" s="748">
        <f>'Part I-Project Information'!I90</f>
        <v>0</v>
      </c>
      <c r="K119" s="748" t="s">
        <v>2833</v>
      </c>
      <c r="L119" s="748">
        <f>'Part I-Project Information'!L90</f>
        <v>0</v>
      </c>
      <c r="N119" s="748" t="s">
        <v>3054</v>
      </c>
      <c r="O119" s="748">
        <f>'Part I-Project Information'!O90</f>
        <v>0</v>
      </c>
    </row>
    <row r="120" spans="1:15" ht="3" customHeight="1"/>
    <row r="121" spans="1:15" ht="13.15" customHeight="1">
      <c r="A121" s="748" t="s">
        <v>463</v>
      </c>
      <c r="C121" s="748" t="s">
        <v>2664</v>
      </c>
    </row>
    <row r="122" spans="1:15" ht="3.6" customHeight="1"/>
    <row r="123" spans="1:15" ht="13.15" customHeight="1">
      <c r="C123" s="748" t="s">
        <v>3255</v>
      </c>
    </row>
    <row r="124" spans="1:15" ht="4.9000000000000004" customHeight="1"/>
    <row r="125" spans="1:15" ht="13.15" customHeight="1">
      <c r="B125" s="748" t="s">
        <v>3058</v>
      </c>
      <c r="C125" s="748" t="s">
        <v>2121</v>
      </c>
      <c r="H125" s="748">
        <f>'Part I-Project Information'!H96</f>
        <v>1</v>
      </c>
    </row>
    <row r="126" spans="1:15" ht="3.6" customHeight="1"/>
    <row r="127" spans="1:15" ht="13.15" customHeight="1">
      <c r="B127" s="748" t="s">
        <v>3061</v>
      </c>
      <c r="C127" s="748" t="s">
        <v>525</v>
      </c>
      <c r="H127" s="748">
        <f>'Part I-Project Information'!H98</f>
        <v>1375000</v>
      </c>
    </row>
    <row r="128" spans="1:15" ht="3.6" customHeight="1"/>
    <row r="129" spans="2:13" ht="13.15" customHeight="1">
      <c r="B129" s="748" t="s">
        <v>1237</v>
      </c>
      <c r="C129" s="748" t="s">
        <v>395</v>
      </c>
    </row>
    <row r="130" spans="2:13" ht="13.15" customHeight="1">
      <c r="C130" s="748" t="s">
        <v>3233</v>
      </c>
      <c r="F130" s="748" t="s">
        <v>1772</v>
      </c>
      <c r="J130" s="748" t="s">
        <v>3233</v>
      </c>
      <c r="M130" s="748" t="s">
        <v>1772</v>
      </c>
    </row>
    <row r="131" spans="2:13" ht="13.15" customHeight="1">
      <c r="C131" s="748" t="str">
        <f>'Part I-Project Information'!C102</f>
        <v>See Tab 3-A for complete owner experience.</v>
      </c>
      <c r="F131" s="748">
        <f>'Part I-Project Information'!F102</f>
        <v>0</v>
      </c>
      <c r="J131" s="748">
        <f>'Part I-Project Information'!J102</f>
        <v>0</v>
      </c>
      <c r="M131" s="748">
        <f>'Part I-Project Information'!M102</f>
        <v>0</v>
      </c>
    </row>
    <row r="132" spans="2:13" ht="13.15" customHeight="1">
      <c r="C132" s="748">
        <f>'Part I-Project Information'!C103</f>
        <v>0</v>
      </c>
      <c r="F132" s="748">
        <f>'Part I-Project Information'!F103</f>
        <v>0</v>
      </c>
      <c r="J132" s="748">
        <f>'Part I-Project Information'!J103</f>
        <v>0</v>
      </c>
      <c r="M132" s="748">
        <f>'Part I-Project Information'!M103</f>
        <v>0</v>
      </c>
    </row>
    <row r="133" spans="2:13" ht="13.15" customHeight="1">
      <c r="C133" s="748">
        <f>'Part I-Project Information'!C104</f>
        <v>0</v>
      </c>
      <c r="F133" s="748">
        <f>'Part I-Project Information'!F104</f>
        <v>0</v>
      </c>
      <c r="J133" s="748">
        <f>'Part I-Project Information'!J104</f>
        <v>0</v>
      </c>
      <c r="M133" s="748">
        <f>'Part I-Project Information'!M104</f>
        <v>0</v>
      </c>
    </row>
    <row r="134" spans="2:13" ht="13.15" customHeight="1">
      <c r="C134" s="748">
        <f>'Part I-Project Information'!C105</f>
        <v>0</v>
      </c>
      <c r="F134" s="748">
        <f>'Part I-Project Information'!F105</f>
        <v>0</v>
      </c>
      <c r="J134" s="748">
        <f>'Part I-Project Information'!J105</f>
        <v>0</v>
      </c>
      <c r="M134" s="748">
        <f>'Part I-Project Information'!M105</f>
        <v>0</v>
      </c>
    </row>
    <row r="135" spans="2:13" ht="13.15" customHeight="1">
      <c r="C135" s="748">
        <f>'Part I-Project Information'!C106</f>
        <v>0</v>
      </c>
      <c r="F135" s="748">
        <f>'Part I-Project Information'!F106</f>
        <v>0</v>
      </c>
      <c r="J135" s="748">
        <f>'Part I-Project Information'!J106</f>
        <v>0</v>
      </c>
      <c r="M135" s="748">
        <f>'Part I-Project Information'!M106</f>
        <v>0</v>
      </c>
    </row>
    <row r="136" spans="2:13" ht="13.15" customHeight="1">
      <c r="C136" s="748">
        <f>'Part I-Project Information'!C107</f>
        <v>0</v>
      </c>
      <c r="F136" s="748">
        <f>'Part I-Project Information'!F107</f>
        <v>0</v>
      </c>
      <c r="J136" s="748">
        <f>'Part I-Project Information'!J107</f>
        <v>0</v>
      </c>
      <c r="M136" s="748">
        <f>'Part I-Project Information'!M107</f>
        <v>0</v>
      </c>
    </row>
    <row r="137" spans="2:13" ht="13.15" customHeight="1">
      <c r="C137" s="748">
        <f>'Part I-Project Information'!C108</f>
        <v>0</v>
      </c>
      <c r="F137" s="748">
        <f>'Part I-Project Information'!F108</f>
        <v>0</v>
      </c>
      <c r="J137" s="748">
        <f>'Part I-Project Information'!J108</f>
        <v>0</v>
      </c>
      <c r="M137" s="748">
        <f>'Part I-Project Information'!M108</f>
        <v>0</v>
      </c>
    </row>
    <row r="138" spans="2:13" ht="4.9000000000000004" customHeight="1"/>
    <row r="139" spans="2:13" ht="13.15" customHeight="1">
      <c r="B139" s="748" t="s">
        <v>3210</v>
      </c>
      <c r="C139" s="748" t="s">
        <v>2898</v>
      </c>
    </row>
    <row r="140" spans="2:13" ht="13.15" customHeight="1"/>
    <row r="141" spans="2:13" ht="13.15" customHeight="1">
      <c r="C141" s="748" t="s">
        <v>3233</v>
      </c>
      <c r="F141" s="748" t="s">
        <v>1772</v>
      </c>
      <c r="J141" s="748" t="s">
        <v>3233</v>
      </c>
      <c r="M141" s="748" t="s">
        <v>1772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3663</v>
      </c>
      <c r="H150" s="748" t="str">
        <f>'Part I-Project Information'!H121</f>
        <v>Yes</v>
      </c>
    </row>
    <row r="151" spans="1:15" ht="3" customHeight="1"/>
    <row r="152" spans="1:15" ht="13.15" customHeight="1">
      <c r="B152" s="748" t="s">
        <v>3058</v>
      </c>
      <c r="C152" s="748" t="s">
        <v>2730</v>
      </c>
      <c r="H152" s="748" t="str">
        <f>'Part I-Project Information'!H123</f>
        <v>Yes</v>
      </c>
    </row>
    <row r="153" spans="1:15" ht="13.15" customHeight="1">
      <c r="C153" s="748" t="s">
        <v>3665</v>
      </c>
      <c r="H153" s="748">
        <f>'Part I-Project Information'!H124</f>
        <v>1994</v>
      </c>
    </row>
    <row r="154" spans="1:15" ht="13.15" customHeight="1">
      <c r="C154" s="748" t="s">
        <v>2729</v>
      </c>
      <c r="H154" s="748" t="str">
        <f>'Part I-Project Information'!H125</f>
        <v>65-1548793</v>
      </c>
    </row>
    <row r="155" spans="1:15" ht="13.15" customHeight="1">
      <c r="C155" s="748" t="s">
        <v>3666</v>
      </c>
      <c r="H155" s="748">
        <f>'Part I-Project Information'!H126</f>
        <v>1994</v>
      </c>
      <c r="K155" s="748" t="s">
        <v>3373</v>
      </c>
      <c r="O155" s="748" t="str">
        <f>'Part I-Project Information'!O126</f>
        <v>GA-94-09101</v>
      </c>
    </row>
    <row r="156" spans="1:15" ht="13.15" customHeight="1">
      <c r="C156" s="748" t="s">
        <v>3664</v>
      </c>
      <c r="H156" s="748" t="str">
        <f>'Part I-Project Information'!H127</f>
        <v>Yes</v>
      </c>
      <c r="K156" s="748" t="s">
        <v>3374</v>
      </c>
      <c r="O156" s="748" t="str">
        <f>'Part I-Project Information'!O127</f>
        <v>GA-94-09101</v>
      </c>
    </row>
    <row r="157" spans="1:15" ht="13.15" customHeight="1">
      <c r="C157" s="748" t="s">
        <v>3271</v>
      </c>
      <c r="H157" s="748">
        <f>'Part I-Project Information'!H128</f>
        <v>40178</v>
      </c>
    </row>
    <row r="158" spans="1:15" ht="3" customHeight="1"/>
    <row r="159" spans="1:15" ht="13.15" customHeight="1">
      <c r="B159" s="748" t="s">
        <v>3061</v>
      </c>
      <c r="C159" s="748" t="s">
        <v>3768</v>
      </c>
      <c r="H159" s="748" t="str">
        <f>'Part I-Project Information'!H130</f>
        <v>Yes</v>
      </c>
    </row>
    <row r="160" spans="1:15" ht="3" customHeight="1"/>
    <row r="161" spans="1:16" ht="13.15" customHeight="1">
      <c r="B161" s="748" t="s">
        <v>1237</v>
      </c>
      <c r="C161" s="748" t="s">
        <v>980</v>
      </c>
    </row>
    <row r="162" spans="1:16" ht="13.15" customHeight="1">
      <c r="C162" s="748" t="s">
        <v>4112</v>
      </c>
      <c r="H162" s="748" t="str">
        <f>'Part I-Project Information'!H133</f>
        <v>Yes</v>
      </c>
      <c r="K162" s="748" t="s">
        <v>2285</v>
      </c>
      <c r="O162" s="748" t="str">
        <f>'Part I-Project Information'!O133</f>
        <v>No</v>
      </c>
    </row>
    <row r="163" spans="1:16" ht="13.15" customHeight="1">
      <c r="C163" s="748" t="s">
        <v>4113</v>
      </c>
      <c r="H163" s="748" t="str">
        <f>'Part I-Project Information'!H134</f>
        <v>No</v>
      </c>
    </row>
    <row r="164" spans="1:16" ht="6" customHeight="1"/>
    <row r="165" spans="1:16" ht="13.15" customHeight="1">
      <c r="A165" s="748" t="s">
        <v>465</v>
      </c>
      <c r="C165" s="748" t="s">
        <v>1834</v>
      </c>
    </row>
    <row r="166" spans="1:16" ht="1.9" customHeight="1"/>
    <row r="167" spans="1:16" ht="13.15" customHeight="1">
      <c r="B167" s="748" t="s">
        <v>3058</v>
      </c>
      <c r="C167" s="748" t="s">
        <v>2863</v>
      </c>
    </row>
    <row r="168" spans="1:16" ht="12.6" customHeight="1">
      <c r="C168" s="748" t="s">
        <v>2277</v>
      </c>
      <c r="K168" s="748" t="str">
        <f>'Part I-Project Information'!K139</f>
        <v>No</v>
      </c>
    </row>
    <row r="169" spans="1:16" ht="12.6" customHeight="1">
      <c r="C169" s="748" t="s">
        <v>948</v>
      </c>
      <c r="K169" s="748">
        <f>'Part I-Project Information'!K140</f>
        <v>0</v>
      </c>
      <c r="L169" s="748" t="s">
        <v>2825</v>
      </c>
      <c r="P169" s="748">
        <f>IF('Part VI-Revenues &amp; Expenses'!$M$61=0,0,$K169/'Part VI-Revenues &amp; Expenses'!$M$61)</f>
        <v>0</v>
      </c>
    </row>
    <row r="170" spans="1:16" ht="12.6" customHeight="1">
      <c r="C170" s="748" t="s">
        <v>3272</v>
      </c>
      <c r="K170" s="748">
        <f>'Part I-Project Information'!K141</f>
        <v>0</v>
      </c>
      <c r="L170" s="748" t="s">
        <v>2825</v>
      </c>
      <c r="P170" s="748">
        <f>IF('Part VI-Revenues &amp; Expenses'!$M$61=0,0,$K170/'Part VI-Revenues &amp; Expenses'!$M$61)</f>
        <v>0</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952</v>
      </c>
      <c r="E173" s="748">
        <f>'Part I-Project Information'!E144</f>
        <v>0</v>
      </c>
      <c r="I173" s="748" t="s">
        <v>3352</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3054</v>
      </c>
      <c r="M174" s="748">
        <f>'Part I-Project Information'!M145</f>
        <v>0</v>
      </c>
    </row>
    <row r="175" spans="1:16" ht="1.9" customHeight="1"/>
    <row r="176" spans="1:16" ht="12.6" customHeight="1">
      <c r="B176" s="748" t="s">
        <v>3061</v>
      </c>
      <c r="C176" s="748" t="s">
        <v>2371</v>
      </c>
      <c r="I176" s="748" t="str">
        <f>'Part I-Project Information'!I147</f>
        <v>No</v>
      </c>
      <c r="J176" s="748" t="s">
        <v>1252</v>
      </c>
      <c r="L176" s="748">
        <f>'Part I-Project Information'!L147</f>
        <v>0</v>
      </c>
      <c r="M176" s="748" t="s">
        <v>3469</v>
      </c>
      <c r="P176" s="748">
        <f>'Part I-Project Information'!P147</f>
        <v>5</v>
      </c>
    </row>
    <row r="177" spans="2:16" ht="1.9" customHeight="1"/>
    <row r="178" spans="2:16" ht="12.6" customHeight="1">
      <c r="B178" s="748" t="s">
        <v>1237</v>
      </c>
      <c r="C178" s="748" t="s">
        <v>2784</v>
      </c>
      <c r="I178" s="748" t="str">
        <f>'Part I-Project Information'!I149</f>
        <v>No</v>
      </c>
    </row>
    <row r="179" spans="2:16" ht="1.9" customHeight="1"/>
    <row r="180" spans="2:16" ht="12.6" customHeight="1">
      <c r="B180" s="748" t="s">
        <v>3210</v>
      </c>
      <c r="C180" s="748" t="s">
        <v>3053</v>
      </c>
      <c r="I180" s="748" t="str">
        <f>'Part I-Project Information'!I151</f>
        <v>Yes</v>
      </c>
    </row>
    <row r="181" spans="2:16" ht="12.6" customHeight="1">
      <c r="C181" s="748" t="s">
        <v>2208</v>
      </c>
      <c r="I181" s="748">
        <f>'Part I-Project Information'!I152</f>
        <v>201</v>
      </c>
    </row>
    <row r="182" spans="2:16" ht="12.6" customHeight="1">
      <c r="C182" s="748" t="s">
        <v>1378</v>
      </c>
      <c r="I182" s="748">
        <f>'Part I-Project Information'!I153</f>
        <v>193</v>
      </c>
    </row>
    <row r="183" spans="2:16" ht="12.6" customHeight="1">
      <c r="C183" s="748" t="s">
        <v>2821</v>
      </c>
      <c r="I183" s="748">
        <f>IF(I181="","",I182/I181)</f>
        <v>0.96019900497512434</v>
      </c>
    </row>
    <row r="184" spans="2:16" ht="1.9" customHeight="1"/>
    <row r="185" spans="2:16" ht="13.15" customHeight="1">
      <c r="B185" s="748" t="s">
        <v>2761</v>
      </c>
      <c r="C185" s="748" t="s">
        <v>2372</v>
      </c>
    </row>
    <row r="186" spans="2:16" ht="12.6" customHeight="1">
      <c r="C186" s="748" t="s">
        <v>3326</v>
      </c>
      <c r="I186" s="748">
        <f>'Part I-Project Information'!I157</f>
        <v>0</v>
      </c>
      <c r="L186" s="748" t="s">
        <v>3325</v>
      </c>
      <c r="P186" s="748">
        <f>'Part I-Project Information'!P157</f>
        <v>0</v>
      </c>
    </row>
    <row r="187" spans="2:16" ht="12.6" customHeight="1">
      <c r="C187" s="748" t="s">
        <v>3328</v>
      </c>
      <c r="I187" s="748" t="str">
        <f>'Part I-Project Information'!I158</f>
        <v>No</v>
      </c>
      <c r="L187" s="748" t="s">
        <v>2374</v>
      </c>
      <c r="P187" s="748">
        <f>'Part I-Project Information'!P158</f>
        <v>0</v>
      </c>
    </row>
    <row r="188" spans="2:16" ht="12.6" customHeight="1">
      <c r="C188" s="748" t="s">
        <v>1978</v>
      </c>
      <c r="I188" s="748">
        <f>'Part I-Project Information'!I159</f>
        <v>0</v>
      </c>
      <c r="L188" s="748" t="s">
        <v>2543</v>
      </c>
      <c r="P188" s="748">
        <f>'Part I-Project Information'!P159</f>
        <v>0</v>
      </c>
    </row>
    <row r="189" spans="2:16" ht="12.6" customHeight="1">
      <c r="C189" s="748" t="s">
        <v>2373</v>
      </c>
      <c r="I189" s="748">
        <f>'Part I-Project Information'!I160</f>
        <v>0</v>
      </c>
      <c r="L189" s="748" t="s">
        <v>2288</v>
      </c>
      <c r="P189" s="748">
        <f>'Part I-Project Information'!P160</f>
        <v>0</v>
      </c>
    </row>
    <row r="190" spans="2:16" ht="12.6" customHeight="1">
      <c r="C190" s="748" t="s">
        <v>2375</v>
      </c>
      <c r="I190" s="748" t="str">
        <f>'Part I-Project Information'!I161</f>
        <v>Yes</v>
      </c>
    </row>
    <row r="191" spans="2:16" ht="12.6" customHeight="1">
      <c r="C191" s="748" t="s">
        <v>2843</v>
      </c>
      <c r="I191" s="748">
        <f>'Part I-Project Information'!I162</f>
        <v>0</v>
      </c>
      <c r="J191" s="748" t="s">
        <v>3372</v>
      </c>
      <c r="O191" s="748">
        <f>'Part I-Project Information'!O162</f>
        <v>0</v>
      </c>
    </row>
    <row r="192" spans="2:16" ht="12.6" customHeight="1">
      <c r="C192" s="748" t="s">
        <v>3408</v>
      </c>
      <c r="E192" s="748" t="str">
        <f>'Part I-Project Information'!E163</f>
        <v>Tax Credit Allocation Max of $950,000 has been waived</v>
      </c>
      <c r="I192" s="748" t="str">
        <f>'Part I-Project Information'!I163</f>
        <v>Yes</v>
      </c>
    </row>
    <row r="193" spans="1:12" ht="1.9" customHeight="1"/>
    <row r="194" spans="1:12" ht="13.15" customHeight="1">
      <c r="B194" s="748" t="s">
        <v>2762</v>
      </c>
      <c r="C194" s="748" t="s">
        <v>1227</v>
      </c>
    </row>
    <row r="195" spans="1:12" ht="12.6" customHeight="1">
      <c r="C195" s="748" t="s">
        <v>974</v>
      </c>
      <c r="I195" s="748">
        <f>'Part I-Project Information'!I166</f>
        <v>41030</v>
      </c>
    </row>
    <row r="196" spans="1:12" ht="12.6" customHeight="1">
      <c r="C196" s="748" t="s">
        <v>367</v>
      </c>
      <c r="I196" s="748">
        <f>'Part I-Project Information'!I167</f>
        <v>41395</v>
      </c>
    </row>
    <row r="197" spans="1:12" ht="12.6" customHeight="1">
      <c r="C197" s="748" t="s">
        <v>3434</v>
      </c>
      <c r="I197" s="748">
        <f>'Part I-Project Information'!I168</f>
        <v>0</v>
      </c>
    </row>
    <row r="198" spans="1:12" ht="1.9" customHeight="1"/>
    <row r="199" spans="1:12" ht="12" customHeight="1">
      <c r="A199" s="748" t="s">
        <v>2751</v>
      </c>
      <c r="C199" s="748" t="s">
        <v>878</v>
      </c>
      <c r="K199" s="748" t="s">
        <v>3379</v>
      </c>
      <c r="L199" s="748" t="s">
        <v>89</v>
      </c>
    </row>
    <row r="200" spans="1:12" ht="38.450000000000003" customHeight="1">
      <c r="A200" s="748" t="str">
        <f>'Part I-Project Information'!A171</f>
        <v>On June 10, 2011 DCA Approved 1 of the 5 architectural waivers request we submitted prior to June 23, 2011.  The remaining 4 architectural waivers remain under review.  Please see the Threshold Determination (Section 13-18) and Tab 4-B for additional information.</v>
      </c>
      <c r="K200" s="748">
        <f>'Part I-Project Information'!K171</f>
        <v>0</v>
      </c>
    </row>
    <row r="201" spans="1:12" ht="38.450000000000003" customHeight="1">
      <c r="A201" s="748" t="str">
        <f>'Part I-Project Information'!A172</f>
        <v>On March 8, 2011 DCA agreed to waive the $950,000 Tax Credit Allocation Max for the 2011 LIHTC competitive LIHTC round.  A copy of this waiver is included in Tab 4-G.</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2011-015 Briarcliff Summit Apartments , , City of Cairo Development Authority County</v>
      </c>
    </row>
    <row r="206" spans="1:12" ht="12" customHeight="1"/>
    <row r="207" spans="1:12" ht="13.15" customHeight="1">
      <c r="A207" s="748" t="s">
        <v>949</v>
      </c>
      <c r="B207" s="748" t="s">
        <v>2911</v>
      </c>
    </row>
    <row r="208" spans="1:12" ht="8.4499999999999993" customHeight="1"/>
    <row r="209" spans="2:17" ht="12.6" customHeight="1">
      <c r="B209" s="748" t="s">
        <v>3058</v>
      </c>
      <c r="C209" s="748" t="s">
        <v>2907</v>
      </c>
      <c r="H209" s="748" t="str">
        <f>'Part II-Development Team'!H5</f>
        <v>The Seven Fifty Limited Partnership</v>
      </c>
      <c r="O209" s="748" t="s">
        <v>3065</v>
      </c>
      <c r="Q209" s="748" t="str">
        <f>'Part II-Development Team'!Q5</f>
        <v>Brian M. Poulin</v>
      </c>
    </row>
    <row r="210" spans="2:17" ht="12.6" customHeight="1">
      <c r="E210" s="748" t="s">
        <v>1640</v>
      </c>
      <c r="H210" s="748" t="str">
        <f>'Part II-Development Team'!H6</f>
        <v xml:space="preserve">261 Gorham Road, c/o Evergreen Partners Housing LLC </v>
      </c>
      <c r="O210" s="748" t="s">
        <v>2774</v>
      </c>
      <c r="Q210" s="748" t="str">
        <f>'Part II-Development Team'!Q6</f>
        <v>Principal/Member</v>
      </c>
    </row>
    <row r="211" spans="2:17" ht="12.6" customHeight="1">
      <c r="E211" s="748" t="s">
        <v>952</v>
      </c>
      <c r="H211" s="748" t="str">
        <f>'Part II-Development Team'!H7</f>
        <v>South Portland</v>
      </c>
      <c r="K211" s="748" t="s">
        <v>1253</v>
      </c>
      <c r="L211" s="748">
        <f>'Part II-Development Team'!L7</f>
        <v>0</v>
      </c>
      <c r="O211" s="748" t="s">
        <v>2833</v>
      </c>
      <c r="Q211" s="748">
        <f>'Part II-Development Team'!Q7</f>
        <v>9545667450</v>
      </c>
    </row>
    <row r="212" spans="2:17" ht="12.6" customHeight="1">
      <c r="E212" s="748" t="s">
        <v>2829</v>
      </c>
      <c r="H212" s="748" t="str">
        <f>'Part II-Development Team'!H8</f>
        <v>ME</v>
      </c>
      <c r="I212" s="748" t="s">
        <v>4114</v>
      </c>
      <c r="J212" s="748">
        <f>'Part II-Development Team'!J8</f>
        <v>41062408</v>
      </c>
      <c r="L212" s="748" t="s">
        <v>4115</v>
      </c>
      <c r="N212" s="748">
        <f>'Part II-Development Team'!N8</f>
        <v>1</v>
      </c>
      <c r="O212" s="748" t="s">
        <v>3054</v>
      </c>
      <c r="Q212" s="748">
        <f>'Part II-Development Team'!Q8</f>
        <v>2074503297</v>
      </c>
    </row>
    <row r="213" spans="2:17" ht="12.6" customHeight="1">
      <c r="E213" s="748" t="s">
        <v>3060</v>
      </c>
      <c r="H213" s="748">
        <f>'Part II-Development Team'!H9</f>
        <v>9545667450</v>
      </c>
      <c r="J213" s="748">
        <f>'Part II-Development Team'!J9</f>
        <v>0</v>
      </c>
      <c r="K213" s="748" t="s">
        <v>2832</v>
      </c>
      <c r="L213" s="748">
        <f>'Part II-Development Team'!L9</f>
        <v>0</v>
      </c>
      <c r="N213" s="748" t="s">
        <v>3059</v>
      </c>
      <c r="O213" s="748" t="str">
        <f>'Part II-Development Team'!O9</f>
        <v>bpoulin@evergreenpartnershousing.com</v>
      </c>
    </row>
    <row r="214" spans="2:17" ht="13.15" customHeight="1">
      <c r="E214" s="748" t="s">
        <v>996</v>
      </c>
      <c r="L214" s="748" t="s">
        <v>1213</v>
      </c>
    </row>
    <row r="215" spans="2:17" ht="4.1500000000000004" customHeight="1"/>
    <row r="216" spans="2:17" ht="13.15" customHeight="1">
      <c r="B216" s="748" t="s">
        <v>3061</v>
      </c>
      <c r="C216" s="748" t="s">
        <v>2908</v>
      </c>
      <c r="L216" s="748" t="s">
        <v>1970</v>
      </c>
      <c r="O216" s="748" t="s">
        <v>1971</v>
      </c>
    </row>
    <row r="217" spans="2:17" ht="4.1500000000000004" customHeight="1"/>
    <row r="218" spans="2:17" ht="13.15" customHeight="1">
      <c r="C218" s="748" t="s">
        <v>3062</v>
      </c>
      <c r="D218" s="748" t="s">
        <v>3063</v>
      </c>
      <c r="L218" s="748" t="s">
        <v>1974</v>
      </c>
      <c r="O218" s="748" t="s">
        <v>1969</v>
      </c>
    </row>
    <row r="219" spans="2:17" ht="4.1500000000000004" customHeight="1"/>
    <row r="220" spans="2:17" ht="12.6" customHeight="1">
      <c r="D220" s="748" t="s">
        <v>3211</v>
      </c>
      <c r="E220" s="748" t="s">
        <v>2909</v>
      </c>
      <c r="H220" s="748" t="str">
        <f>'Part II-Development Team'!H16</f>
        <v xml:space="preserve">Majestic Manor LLC </v>
      </c>
      <c r="O220" s="748" t="s">
        <v>3065</v>
      </c>
      <c r="Q220" s="748" t="str">
        <f>'Part II-Development Team'!Q16</f>
        <v>Brian M. Poulin</v>
      </c>
    </row>
    <row r="221" spans="2:17" ht="12.6" customHeight="1">
      <c r="E221" s="748" t="s">
        <v>1640</v>
      </c>
      <c r="H221" s="748" t="str">
        <f>'Part II-Development Team'!H17</f>
        <v xml:space="preserve">261 Gorham Road, c/o Evergreen Partners Housing LLC </v>
      </c>
      <c r="O221" s="748" t="s">
        <v>2774</v>
      </c>
      <c r="Q221" s="748" t="str">
        <f>'Part II-Development Team'!Q17</f>
        <v>Principal/Member</v>
      </c>
    </row>
    <row r="222" spans="2:17" ht="12.6" customHeight="1">
      <c r="E222" s="748" t="s">
        <v>952</v>
      </c>
      <c r="H222" s="748" t="str">
        <f>'Part II-Development Team'!H18</f>
        <v xml:space="preserve">South Portland </v>
      </c>
      <c r="O222" s="748" t="s">
        <v>2833</v>
      </c>
      <c r="Q222" s="748">
        <f>'Part II-Development Team'!Q18</f>
        <v>9565667450</v>
      </c>
    </row>
    <row r="223" spans="2:17" ht="12.6" customHeight="1">
      <c r="E223" s="748" t="s">
        <v>2829</v>
      </c>
      <c r="H223" s="748" t="str">
        <f>'Part II-Development Team'!H19</f>
        <v>ME</v>
      </c>
      <c r="I223" s="748" t="s">
        <v>4114</v>
      </c>
      <c r="J223" s="748">
        <f>'Part II-Development Team'!J19</f>
        <v>41062408</v>
      </c>
      <c r="L223" s="748" t="s">
        <v>4115</v>
      </c>
      <c r="N223" s="748">
        <f>'Part II-Development Team'!N19</f>
        <v>1</v>
      </c>
      <c r="O223" s="748" t="s">
        <v>3054</v>
      </c>
      <c r="Q223" s="748">
        <f>'Part II-Development Team'!Q19</f>
        <v>2074503297</v>
      </c>
    </row>
    <row r="224" spans="2:17" ht="12.6" customHeight="1">
      <c r="E224" s="748" t="s">
        <v>3060</v>
      </c>
      <c r="H224" s="748">
        <f>'Part II-Development Team'!H20</f>
        <v>9565667450</v>
      </c>
      <c r="J224" s="748">
        <f>'Part II-Development Team'!J20</f>
        <v>0</v>
      </c>
      <c r="K224" s="748" t="s">
        <v>2832</v>
      </c>
      <c r="L224" s="748">
        <f>'Part II-Development Team'!L20</f>
        <v>0</v>
      </c>
      <c r="N224" s="748" t="s">
        <v>3059</v>
      </c>
      <c r="O224" s="748" t="str">
        <f>'Part II-Development Team'!O20</f>
        <v>bpoulin@evergreenpartnershousing.com</v>
      </c>
    </row>
    <row r="225" spans="3:17" ht="4.1500000000000004"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2833</v>
      </c>
      <c r="Q228" s="748">
        <f>'Part II-Development Team'!Q24</f>
        <v>0</v>
      </c>
    </row>
    <row r="229" spans="3:17" ht="12.6" customHeight="1">
      <c r="E229" s="748" t="s">
        <v>2829</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2832</v>
      </c>
      <c r="L230" s="748">
        <f>'Part II-Development Team'!L26</f>
        <v>0</v>
      </c>
      <c r="N230" s="748" t="s">
        <v>3059</v>
      </c>
      <c r="O230" s="748">
        <f>'Part II-Development Team'!O26</f>
        <v>0</v>
      </c>
    </row>
    <row r="231" spans="3:17" ht="4.1500000000000004" customHeight="1"/>
    <row r="232" spans="3:17" ht="12.6" customHeight="1">
      <c r="D232" s="748" t="s">
        <v>2760</v>
      </c>
      <c r="E232" s="748" t="s">
        <v>2910</v>
      </c>
      <c r="H232" s="748">
        <f>'Part II-Development Team'!H28</f>
        <v>0</v>
      </c>
      <c r="O232" s="748" t="s">
        <v>3065</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2833</v>
      </c>
      <c r="Q234" s="748">
        <f>'Part II-Development Team'!Q30</f>
        <v>0</v>
      </c>
    </row>
    <row r="235" spans="3:17" ht="12.6" customHeight="1">
      <c r="E235" s="748" t="s">
        <v>2829</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2832</v>
      </c>
      <c r="L236" s="748">
        <f>'Part II-Development Team'!L32</f>
        <v>0</v>
      </c>
      <c r="N236" s="748" t="s">
        <v>3059</v>
      </c>
      <c r="O236" s="748">
        <f>'Part II-Development Team'!O32</f>
        <v>0</v>
      </c>
    </row>
    <row r="237" spans="3:17" ht="4.1500000000000004" customHeight="1"/>
    <row r="238" spans="3:17" ht="13.15" customHeight="1">
      <c r="C238" s="748" t="s">
        <v>3064</v>
      </c>
      <c r="D238" s="748" t="s">
        <v>2912</v>
      </c>
    </row>
    <row r="239" spans="3:17" ht="4.1500000000000004" customHeight="1"/>
    <row r="240" spans="3:17" ht="12.6" customHeight="1">
      <c r="D240" s="748" t="s">
        <v>3211</v>
      </c>
      <c r="E240" s="748" t="s">
        <v>1238</v>
      </c>
      <c r="H240" s="748" t="str">
        <f>'Part II-Development Team'!H36</f>
        <v>Wells Fargo Community Lending and Investment (Proposed Limited Partner)</v>
      </c>
      <c r="O240" s="748" t="s">
        <v>3065</v>
      </c>
      <c r="Q240" s="748" t="str">
        <f>'Part II-Development Team'!Q36</f>
        <v>J. Frederick (Rick) Davis</v>
      </c>
    </row>
    <row r="241" spans="3:17" ht="12.6" customHeight="1">
      <c r="E241" s="748" t="s">
        <v>1640</v>
      </c>
      <c r="H241" s="748" t="str">
        <f>'Part II-Development Team'!H37</f>
        <v>301 South College Street</v>
      </c>
      <c r="O241" s="748" t="s">
        <v>2774</v>
      </c>
      <c r="Q241" s="748" t="str">
        <f>'Part II-Development Team'!Q37</f>
        <v>Managing Director</v>
      </c>
    </row>
    <row r="242" spans="3:17" ht="12.6" customHeight="1">
      <c r="E242" s="748" t="s">
        <v>952</v>
      </c>
      <c r="H242" s="748" t="str">
        <f>'Part II-Development Team'!H38</f>
        <v>Charlotte</v>
      </c>
      <c r="O242" s="748" t="s">
        <v>2833</v>
      </c>
      <c r="Q242" s="748">
        <f>'Part II-Development Team'!Q38</f>
        <v>7043830280</v>
      </c>
    </row>
    <row r="243" spans="3:17" ht="12.6" customHeight="1">
      <c r="E243" s="748" t="s">
        <v>2829</v>
      </c>
      <c r="H243" s="748" t="str">
        <f>'Part II-Development Team'!H39</f>
        <v>NC</v>
      </c>
      <c r="I243" s="748" t="s">
        <v>3352</v>
      </c>
      <c r="J243" s="748">
        <f>'Part II-Development Team'!J39</f>
        <v>282885640</v>
      </c>
      <c r="O243" s="748" t="s">
        <v>3054</v>
      </c>
      <c r="Q243" s="748">
        <f>'Part II-Development Team'!Q39</f>
        <v>0</v>
      </c>
    </row>
    <row r="244" spans="3:17" ht="12.6" customHeight="1">
      <c r="E244" s="748" t="s">
        <v>3060</v>
      </c>
      <c r="H244" s="748">
        <f>'Part II-Development Team'!H40</f>
        <v>7043830280</v>
      </c>
      <c r="J244" s="748">
        <f>'Part II-Development Team'!J40</f>
        <v>0</v>
      </c>
      <c r="K244" s="748" t="s">
        <v>2832</v>
      </c>
      <c r="L244" s="748">
        <f>'Part II-Development Team'!L40</f>
        <v>7047150046</v>
      </c>
      <c r="N244" s="748" t="s">
        <v>3059</v>
      </c>
      <c r="O244" s="748" t="str">
        <f>'Part II-Development Team'!O40</f>
        <v>rick.davis@wachovia.com</v>
      </c>
    </row>
    <row r="245" spans="3:17" ht="4.1500000000000004" customHeight="1"/>
    <row r="246" spans="3:17" ht="12.6" customHeight="1">
      <c r="D246" s="748" t="s">
        <v>3212</v>
      </c>
      <c r="E246" s="748" t="s">
        <v>1239</v>
      </c>
      <c r="H246" s="748" t="str">
        <f>'Part II-Development Team'!H42</f>
        <v>Well Fargo Community Lending and Investment (Proposed Limited Partner)</v>
      </c>
      <c r="O246" s="748" t="s">
        <v>3065</v>
      </c>
      <c r="Q246" s="748" t="str">
        <f>'Part II-Development Team'!Q42</f>
        <v>J. Frederick (Rick) Davis</v>
      </c>
    </row>
    <row r="247" spans="3:17" ht="12.6" customHeight="1">
      <c r="E247" s="748" t="s">
        <v>1640</v>
      </c>
      <c r="H247" s="748" t="str">
        <f>'Part II-Development Team'!H43</f>
        <v>301 South College Street</v>
      </c>
      <c r="O247" s="748" t="s">
        <v>2774</v>
      </c>
      <c r="Q247" s="748" t="str">
        <f>'Part II-Development Team'!Q43</f>
        <v>Managing Director</v>
      </c>
    </row>
    <row r="248" spans="3:17" ht="12.6" customHeight="1">
      <c r="E248" s="748" t="s">
        <v>952</v>
      </c>
      <c r="H248" s="748" t="str">
        <f>'Part II-Development Team'!H44</f>
        <v>Charlotte</v>
      </c>
      <c r="O248" s="748" t="s">
        <v>2833</v>
      </c>
      <c r="Q248" s="748">
        <f>'Part II-Development Team'!Q44</f>
        <v>7043830280</v>
      </c>
    </row>
    <row r="249" spans="3:17" ht="12.6" customHeight="1">
      <c r="E249" s="748" t="s">
        <v>2829</v>
      </c>
      <c r="H249" s="748" t="str">
        <f>'Part II-Development Team'!H45</f>
        <v>NC</v>
      </c>
      <c r="I249" s="748" t="s">
        <v>3352</v>
      </c>
      <c r="J249" s="748">
        <f>'Part II-Development Team'!J45</f>
        <v>282885640</v>
      </c>
      <c r="O249" s="748" t="s">
        <v>3054</v>
      </c>
      <c r="Q249" s="748">
        <f>'Part II-Development Team'!Q45</f>
        <v>0</v>
      </c>
    </row>
    <row r="250" spans="3:17" ht="12.6" customHeight="1">
      <c r="E250" s="748" t="s">
        <v>3060</v>
      </c>
      <c r="H250" s="748">
        <f>'Part II-Development Team'!H46</f>
        <v>7043830280</v>
      </c>
      <c r="J250" s="748">
        <f>'Part II-Development Team'!J46</f>
        <v>0</v>
      </c>
      <c r="K250" s="748" t="s">
        <v>2832</v>
      </c>
      <c r="L250" s="748">
        <f>'Part II-Development Team'!L46</f>
        <v>7047150045</v>
      </c>
      <c r="N250" s="748" t="s">
        <v>3059</v>
      </c>
      <c r="O250" s="748" t="str">
        <f>'Part II-Development Team'!O46</f>
        <v>rick.davis@wachovia.com</v>
      </c>
    </row>
    <row r="251" spans="3:17" ht="4.1500000000000004" customHeight="1"/>
    <row r="252" spans="3:17" ht="13.15" customHeight="1">
      <c r="C252" s="748" t="s">
        <v>3821</v>
      </c>
      <c r="D252" s="748" t="s">
        <v>993</v>
      </c>
    </row>
    <row r="253" spans="3:17" ht="4.1500000000000004" customHeight="1"/>
    <row r="254" spans="3:17" ht="12.6" customHeight="1">
      <c r="E254" s="748" t="s">
        <v>103</v>
      </c>
      <c r="H254" s="748">
        <f>'Part II-Development Team'!H50</f>
        <v>0</v>
      </c>
      <c r="O254" s="748" t="s">
        <v>3065</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2833</v>
      </c>
      <c r="Q256" s="748">
        <f>'Part II-Development Team'!Q52</f>
        <v>0</v>
      </c>
    </row>
    <row r="257" spans="1:17" ht="12.6" customHeight="1">
      <c r="E257" s="748" t="s">
        <v>2829</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2832</v>
      </c>
      <c r="L258" s="748">
        <f>'Part II-Development Team'!L54</f>
        <v>0</v>
      </c>
      <c r="N258" s="748" t="s">
        <v>3059</v>
      </c>
      <c r="O258" s="748">
        <f>'Part II-Development Team'!O54</f>
        <v>0</v>
      </c>
    </row>
    <row r="259" spans="1:17" ht="13.15" customHeight="1"/>
    <row r="260" spans="1:17" ht="13.15" customHeight="1">
      <c r="A260" s="748" t="s">
        <v>1228</v>
      </c>
      <c r="B260" s="748" t="s">
        <v>994</v>
      </c>
    </row>
    <row r="261" spans="1:17" ht="9" customHeight="1"/>
    <row r="262" spans="1:17" ht="13.15" customHeight="1">
      <c r="B262" s="748" t="s">
        <v>3058</v>
      </c>
      <c r="C262" s="748" t="s">
        <v>375</v>
      </c>
      <c r="H262" s="748" t="str">
        <f>'Part II-Development Team'!H58</f>
        <v xml:space="preserve">Evergreen Partners II LLC </v>
      </c>
      <c r="O262" s="748" t="s">
        <v>3065</v>
      </c>
      <c r="Q262" s="748" t="str">
        <f>'Part II-Development Team'!Q58</f>
        <v>Brian M. Poulin</v>
      </c>
    </row>
    <row r="263" spans="1:17" ht="13.15" customHeight="1">
      <c r="E263" s="748" t="s">
        <v>1640</v>
      </c>
      <c r="H263" s="748" t="str">
        <f>'Part II-Development Team'!H59</f>
        <v xml:space="preserve">261 Gorham Road </v>
      </c>
      <c r="O263" s="748" t="s">
        <v>2774</v>
      </c>
      <c r="Q263" s="748" t="str">
        <f>'Part II-Development Team'!Q59</f>
        <v>Principal/Member</v>
      </c>
    </row>
    <row r="264" spans="1:17" ht="13.15" customHeight="1">
      <c r="E264" s="748" t="s">
        <v>952</v>
      </c>
      <c r="H264" s="748" t="str">
        <f>'Part II-Development Team'!H60</f>
        <v xml:space="preserve">South Portland </v>
      </c>
      <c r="O264" s="748" t="s">
        <v>2833</v>
      </c>
      <c r="Q264" s="748">
        <f>'Part II-Development Team'!Q60</f>
        <v>9545667450</v>
      </c>
    </row>
    <row r="265" spans="1:17" ht="13.15" customHeight="1">
      <c r="E265" s="748" t="s">
        <v>2829</v>
      </c>
      <c r="H265" s="748" t="str">
        <f>'Part II-Development Team'!H61</f>
        <v>ME</v>
      </c>
      <c r="I265" s="748" t="s">
        <v>3352</v>
      </c>
      <c r="J265" s="748">
        <f>'Part II-Development Team'!J61</f>
        <v>41062408</v>
      </c>
      <c r="O265" s="748" t="s">
        <v>3054</v>
      </c>
      <c r="Q265" s="748">
        <f>'Part II-Development Team'!Q61</f>
        <v>2074503297</v>
      </c>
    </row>
    <row r="266" spans="1:17" ht="13.15" customHeight="1">
      <c r="E266" s="748" t="s">
        <v>3060</v>
      </c>
      <c r="H266" s="748">
        <f>'Part II-Development Team'!H62</f>
        <v>9545667450</v>
      </c>
      <c r="J266" s="748">
        <f>'Part II-Development Team'!J62</f>
        <v>0</v>
      </c>
      <c r="K266" s="748" t="s">
        <v>2832</v>
      </c>
      <c r="L266" s="748">
        <f>'Part II-Development Team'!L62</f>
        <v>0</v>
      </c>
      <c r="N266" s="748" t="s">
        <v>3059</v>
      </c>
      <c r="O266" s="748" t="str">
        <f>'Part II-Development Team'!O62</f>
        <v>bpoulin@evergreenpartnershousing.com</v>
      </c>
    </row>
    <row r="267" spans="1:17" ht="6.6" customHeight="1"/>
    <row r="268" spans="1:17" ht="13.15" customHeight="1">
      <c r="B268" s="748" t="s">
        <v>3061</v>
      </c>
      <c r="C268" s="748" t="s">
        <v>376</v>
      </c>
      <c r="H268" s="748">
        <f>'Part II-Development Team'!H64</f>
        <v>0</v>
      </c>
      <c r="O268" s="748" t="s">
        <v>3065</v>
      </c>
      <c r="Q268" s="748">
        <f>'Part II-Development Team'!Q64</f>
        <v>0</v>
      </c>
    </row>
    <row r="269" spans="1:17" ht="13.15" customHeight="1">
      <c r="E269" s="748" t="s">
        <v>1640</v>
      </c>
      <c r="H269" s="748">
        <f>'Part II-Development Team'!H65</f>
        <v>0</v>
      </c>
      <c r="O269" s="748" t="s">
        <v>2774</v>
      </c>
      <c r="Q269" s="748">
        <f>'Part II-Development Team'!Q65</f>
        <v>0</v>
      </c>
    </row>
    <row r="270" spans="1:17" ht="13.15" customHeight="1">
      <c r="E270" s="748" t="s">
        <v>952</v>
      </c>
      <c r="H270" s="748">
        <f>'Part II-Development Team'!H66</f>
        <v>0</v>
      </c>
      <c r="O270" s="748" t="s">
        <v>2833</v>
      </c>
      <c r="Q270" s="748">
        <f>'Part II-Development Team'!Q66</f>
        <v>0</v>
      </c>
    </row>
    <row r="271" spans="1:17" ht="13.15" customHeight="1">
      <c r="E271" s="748" t="s">
        <v>2829</v>
      </c>
      <c r="H271" s="748">
        <f>'Part II-Development Team'!H67</f>
        <v>0</v>
      </c>
      <c r="I271" s="748" t="s">
        <v>3352</v>
      </c>
      <c r="J271" s="748">
        <f>'Part II-Development Team'!J67</f>
        <v>0</v>
      </c>
      <c r="O271" s="748" t="s">
        <v>3054</v>
      </c>
      <c r="Q271" s="748">
        <f>'Part II-Development Team'!Q67</f>
        <v>0</v>
      </c>
    </row>
    <row r="272" spans="1:17" ht="13.15" customHeight="1">
      <c r="E272" s="748" t="s">
        <v>3060</v>
      </c>
      <c r="H272" s="748">
        <f>'Part II-Development Team'!H68</f>
        <v>0</v>
      </c>
      <c r="J272" s="748">
        <f>'Part II-Development Team'!J68</f>
        <v>0</v>
      </c>
      <c r="K272" s="748" t="s">
        <v>2832</v>
      </c>
      <c r="L272" s="748">
        <f>'Part II-Development Team'!L68</f>
        <v>0</v>
      </c>
      <c r="N272" s="748" t="s">
        <v>3059</v>
      </c>
      <c r="O272" s="748">
        <f>'Part II-Development Team'!O68</f>
        <v>0</v>
      </c>
    </row>
    <row r="273" spans="1:17" ht="6.6" customHeight="1"/>
    <row r="274" spans="1:17" ht="13.15" customHeight="1">
      <c r="B274" s="748" t="s">
        <v>1237</v>
      </c>
      <c r="C274" s="748" t="s">
        <v>2278</v>
      </c>
      <c r="H274" s="748">
        <f>'Part II-Development Team'!H70</f>
        <v>0</v>
      </c>
      <c r="O274" s="748" t="s">
        <v>3065</v>
      </c>
      <c r="Q274" s="748">
        <f>'Part II-Development Team'!Q70</f>
        <v>0</v>
      </c>
    </row>
    <row r="275" spans="1:17" ht="13.15" customHeight="1">
      <c r="E275" s="748" t="s">
        <v>1640</v>
      </c>
      <c r="H275" s="748">
        <f>'Part II-Development Team'!H71</f>
        <v>0</v>
      </c>
      <c r="O275" s="748" t="s">
        <v>2774</v>
      </c>
      <c r="Q275" s="748">
        <f>'Part II-Development Team'!Q71</f>
        <v>0</v>
      </c>
    </row>
    <row r="276" spans="1:17" ht="13.15" customHeight="1">
      <c r="E276" s="748" t="s">
        <v>952</v>
      </c>
      <c r="H276" s="748">
        <f>'Part II-Development Team'!H72</f>
        <v>0</v>
      </c>
      <c r="O276" s="748" t="s">
        <v>2833</v>
      </c>
      <c r="Q276" s="748">
        <f>'Part II-Development Team'!Q72</f>
        <v>0</v>
      </c>
    </row>
    <row r="277" spans="1:17" ht="13.15" customHeight="1">
      <c r="E277" s="748" t="s">
        <v>2829</v>
      </c>
      <c r="H277" s="748">
        <f>'Part II-Development Team'!H73</f>
        <v>0</v>
      </c>
      <c r="I277" s="748" t="s">
        <v>3352</v>
      </c>
      <c r="J277" s="748">
        <f>'Part II-Development Team'!J73</f>
        <v>0</v>
      </c>
      <c r="O277" s="748" t="s">
        <v>3054</v>
      </c>
      <c r="Q277" s="748">
        <f>'Part II-Development Team'!Q73</f>
        <v>0</v>
      </c>
    </row>
    <row r="278" spans="1:17" ht="13.15" customHeight="1">
      <c r="E278" s="748" t="s">
        <v>3060</v>
      </c>
      <c r="H278" s="748">
        <f>'Part II-Development Team'!H74</f>
        <v>0</v>
      </c>
      <c r="J278" s="748">
        <f>'Part II-Development Team'!J74</f>
        <v>0</v>
      </c>
      <c r="K278" s="748" t="s">
        <v>2832</v>
      </c>
      <c r="L278" s="748">
        <f>'Part II-Development Team'!L74</f>
        <v>0</v>
      </c>
      <c r="N278" s="748" t="s">
        <v>3059</v>
      </c>
      <c r="O278" s="748">
        <f>'Part II-Development Team'!O74</f>
        <v>0</v>
      </c>
    </row>
    <row r="279" spans="1:17" ht="6.6" customHeight="1"/>
    <row r="280" spans="1:17" ht="13.15" customHeight="1">
      <c r="B280" s="748" t="s">
        <v>3210</v>
      </c>
      <c r="C280" s="748" t="s">
        <v>377</v>
      </c>
      <c r="H280" s="748">
        <f>'Part II-Development Team'!H76</f>
        <v>0</v>
      </c>
      <c r="O280" s="748" t="s">
        <v>3065</v>
      </c>
      <c r="Q280" s="748">
        <f>'Part II-Development Team'!Q76</f>
        <v>0</v>
      </c>
    </row>
    <row r="281" spans="1:17" ht="13.15" customHeight="1">
      <c r="E281" s="748" t="s">
        <v>1640</v>
      </c>
      <c r="H281" s="748">
        <f>'Part II-Development Team'!H77</f>
        <v>0</v>
      </c>
      <c r="O281" s="748" t="s">
        <v>2774</v>
      </c>
      <c r="Q281" s="748">
        <f>'Part II-Development Team'!Q77</f>
        <v>0</v>
      </c>
    </row>
    <row r="282" spans="1:17" ht="13.15" customHeight="1">
      <c r="E282" s="748" t="s">
        <v>952</v>
      </c>
      <c r="H282" s="748">
        <f>'Part II-Development Team'!H78</f>
        <v>0</v>
      </c>
      <c r="O282" s="748" t="s">
        <v>2833</v>
      </c>
      <c r="Q282" s="748">
        <f>'Part II-Development Team'!Q78</f>
        <v>0</v>
      </c>
    </row>
    <row r="283" spans="1:17" ht="13.15" customHeight="1">
      <c r="E283" s="748" t="s">
        <v>2829</v>
      </c>
      <c r="H283" s="748">
        <f>'Part II-Development Team'!H79</f>
        <v>0</v>
      </c>
      <c r="I283" s="748" t="s">
        <v>3352</v>
      </c>
      <c r="J283" s="748">
        <f>'Part II-Development Team'!J79</f>
        <v>0</v>
      </c>
      <c r="O283" s="748" t="s">
        <v>3054</v>
      </c>
      <c r="Q283" s="748">
        <f>'Part II-Development Team'!Q79</f>
        <v>0</v>
      </c>
    </row>
    <row r="284" spans="1:17" ht="13.15" customHeight="1">
      <c r="E284" s="748" t="s">
        <v>3060</v>
      </c>
      <c r="H284" s="748">
        <f>'Part II-Development Team'!H80</f>
        <v>0</v>
      </c>
      <c r="J284" s="748">
        <f>'Part II-Development Team'!J80</f>
        <v>0</v>
      </c>
      <c r="K284" s="748" t="s">
        <v>2832</v>
      </c>
      <c r="L284" s="748">
        <f>'Part II-Development Team'!L80</f>
        <v>0</v>
      </c>
      <c r="N284" s="748" t="s">
        <v>3059</v>
      </c>
      <c r="O284" s="748">
        <f>'Part II-Development Team'!O80</f>
        <v>0</v>
      </c>
    </row>
    <row r="285" spans="1:17" ht="13.15" customHeight="1"/>
    <row r="286" spans="1:17" ht="13.15" customHeight="1">
      <c r="A286" s="748" t="s">
        <v>1230</v>
      </c>
      <c r="B286" s="748" t="s">
        <v>378</v>
      </c>
    </row>
    <row r="287" spans="1:17" ht="9" customHeight="1"/>
    <row r="288" spans="1:17" ht="13.15" customHeight="1">
      <c r="B288" s="748" t="s">
        <v>3058</v>
      </c>
      <c r="C288" s="748" t="s">
        <v>379</v>
      </c>
      <c r="H288" s="748">
        <f>'Part II-Development Team'!H84</f>
        <v>0</v>
      </c>
      <c r="O288" s="748" t="s">
        <v>3065</v>
      </c>
      <c r="Q288" s="748">
        <f>'Part II-Development Team'!Q84</f>
        <v>0</v>
      </c>
    </row>
    <row r="289" spans="2:17" ht="13.15" customHeight="1">
      <c r="E289" s="748" t="s">
        <v>1640</v>
      </c>
      <c r="H289" s="748">
        <f>'Part II-Development Team'!H85</f>
        <v>0</v>
      </c>
      <c r="O289" s="748" t="s">
        <v>2774</v>
      </c>
      <c r="Q289" s="748">
        <f>'Part II-Development Team'!Q85</f>
        <v>0</v>
      </c>
    </row>
    <row r="290" spans="2:17" ht="13.15" customHeight="1">
      <c r="E290" s="748" t="s">
        <v>952</v>
      </c>
      <c r="H290" s="748">
        <f>'Part II-Development Team'!H86</f>
        <v>0</v>
      </c>
      <c r="O290" s="748" t="s">
        <v>2833</v>
      </c>
      <c r="Q290" s="748">
        <f>'Part II-Development Team'!Q86</f>
        <v>0</v>
      </c>
    </row>
    <row r="291" spans="2:17" ht="13.15" customHeight="1">
      <c r="E291" s="748" t="s">
        <v>2829</v>
      </c>
      <c r="H291" s="748">
        <f>'Part II-Development Team'!H87</f>
        <v>0</v>
      </c>
      <c r="I291" s="748" t="s">
        <v>3352</v>
      </c>
      <c r="J291" s="748">
        <f>'Part II-Development Team'!J87</f>
        <v>0</v>
      </c>
      <c r="O291" s="748" t="s">
        <v>3054</v>
      </c>
      <c r="Q291" s="748">
        <f>'Part II-Development Team'!Q87</f>
        <v>0</v>
      </c>
    </row>
    <row r="292" spans="2:17" ht="13.15" customHeight="1">
      <c r="E292" s="748" t="s">
        <v>3060</v>
      </c>
      <c r="H292" s="748">
        <f>'Part II-Development Team'!H88</f>
        <v>0</v>
      </c>
      <c r="J292" s="748">
        <f>'Part II-Development Team'!J88</f>
        <v>0</v>
      </c>
      <c r="K292" s="748" t="s">
        <v>2832</v>
      </c>
      <c r="L292" s="748">
        <f>'Part II-Development Team'!L88</f>
        <v>0</v>
      </c>
      <c r="N292" s="748" t="s">
        <v>3059</v>
      </c>
      <c r="O292" s="748">
        <f>'Part II-Development Team'!O88</f>
        <v>0</v>
      </c>
    </row>
    <row r="293" spans="2:17" ht="6.6" customHeight="1"/>
    <row r="294" spans="2:17" ht="13.15" customHeight="1">
      <c r="B294" s="748" t="s">
        <v>3061</v>
      </c>
      <c r="C294" s="748" t="s">
        <v>380</v>
      </c>
      <c r="H294" s="748" t="str">
        <f>'Part II-Development Team'!H90</f>
        <v xml:space="preserve">The Whiting-Turner Contracting Company </v>
      </c>
      <c r="O294" s="748" t="s">
        <v>3065</v>
      </c>
      <c r="Q294" s="748" t="str">
        <f>'Part II-Development Team'!Q90</f>
        <v>Carlos Cisneros</v>
      </c>
    </row>
    <row r="295" spans="2:17" ht="13.15" customHeight="1">
      <c r="E295" s="748" t="s">
        <v>1640</v>
      </c>
      <c r="H295" s="748" t="str">
        <f>'Part II-Development Team'!H91</f>
        <v>300 E. Joppa Road</v>
      </c>
      <c r="O295" s="748" t="s">
        <v>2774</v>
      </c>
      <c r="Q295" s="748" t="str">
        <f>'Part II-Development Team'!Q91</f>
        <v>Project Manager</v>
      </c>
    </row>
    <row r="296" spans="2:17" ht="13.15" customHeight="1">
      <c r="E296" s="748" t="s">
        <v>952</v>
      </c>
      <c r="H296" s="748" t="str">
        <f>'Part II-Development Team'!H92</f>
        <v xml:space="preserve">Baltimore </v>
      </c>
      <c r="O296" s="748" t="s">
        <v>2833</v>
      </c>
      <c r="Q296" s="748">
        <f>'Part II-Development Team'!Q92</f>
        <v>4435067471</v>
      </c>
    </row>
    <row r="297" spans="2:17" ht="13.15" customHeight="1">
      <c r="E297" s="748" t="s">
        <v>2829</v>
      </c>
      <c r="H297" s="748" t="str">
        <f>'Part II-Development Team'!H93</f>
        <v>MD</v>
      </c>
      <c r="I297" s="748" t="s">
        <v>3352</v>
      </c>
      <c r="J297" s="748">
        <f>'Part II-Development Team'!J93</f>
        <v>212863020</v>
      </c>
      <c r="O297" s="748" t="s">
        <v>3054</v>
      </c>
      <c r="Q297" s="748">
        <f>'Part II-Development Team'!Q93</f>
        <v>4435067471</v>
      </c>
    </row>
    <row r="298" spans="2:17" ht="13.15" customHeight="1">
      <c r="E298" s="748" t="s">
        <v>3060</v>
      </c>
      <c r="H298" s="748">
        <f>'Part II-Development Team'!H94</f>
        <v>8006384279</v>
      </c>
      <c r="J298" s="748">
        <f>'Part II-Development Team'!J94</f>
        <v>0</v>
      </c>
      <c r="K298" s="748" t="s">
        <v>2832</v>
      </c>
      <c r="L298" s="748">
        <f>'Part II-Development Team'!L94</f>
        <v>0</v>
      </c>
      <c r="N298" s="748" t="s">
        <v>3059</v>
      </c>
      <c r="O298" s="748" t="str">
        <f>'Part II-Development Team'!O94</f>
        <v>carlos.cisneros@whiting-turner.com</v>
      </c>
    </row>
    <row r="299" spans="2:17" ht="6.6" customHeight="1"/>
    <row r="300" spans="2:17" ht="13.15" customHeight="1">
      <c r="B300" s="748" t="s">
        <v>1237</v>
      </c>
      <c r="C300" s="748" t="s">
        <v>381</v>
      </c>
      <c r="H300" s="748" t="str">
        <f>'Part II-Development Team'!H96</f>
        <v>Preservation Management, Inc.</v>
      </c>
      <c r="O300" s="748" t="s">
        <v>3065</v>
      </c>
      <c r="Q300" s="748" t="str">
        <f>'Part II-Development Team'!Q96</f>
        <v>Brian M. Poulin</v>
      </c>
    </row>
    <row r="301" spans="2:17" ht="13.15" customHeight="1">
      <c r="E301" s="748" t="s">
        <v>1640</v>
      </c>
      <c r="H301" s="748" t="str">
        <f>'Part II-Development Team'!H97</f>
        <v>707 Sable Oaks Drive</v>
      </c>
      <c r="O301" s="748" t="s">
        <v>2774</v>
      </c>
      <c r="Q301" s="748" t="str">
        <f>'Part II-Development Team'!Q97</f>
        <v>Principal</v>
      </c>
    </row>
    <row r="302" spans="2:17" ht="13.15" customHeight="1">
      <c r="E302" s="748" t="s">
        <v>952</v>
      </c>
      <c r="H302" s="748" t="str">
        <f>'Part II-Development Team'!H98</f>
        <v>South Portland</v>
      </c>
      <c r="O302" s="748" t="s">
        <v>2833</v>
      </c>
      <c r="Q302" s="748">
        <f>'Part II-Development Team'!Q98</f>
        <v>9545667450</v>
      </c>
    </row>
    <row r="303" spans="2:17" ht="13.15" customHeight="1">
      <c r="E303" s="748" t="s">
        <v>2829</v>
      </c>
      <c r="H303" s="748" t="str">
        <f>'Part II-Development Team'!H99</f>
        <v>ME</v>
      </c>
      <c r="I303" s="748" t="s">
        <v>3352</v>
      </c>
      <c r="J303" s="748">
        <f>'Part II-Development Team'!J99</f>
        <v>41063290</v>
      </c>
      <c r="O303" s="748" t="s">
        <v>3054</v>
      </c>
      <c r="Q303" s="748">
        <f>'Part II-Development Team'!Q99</f>
        <v>2074503297</v>
      </c>
    </row>
    <row r="304" spans="2:17" ht="13.15" customHeight="1">
      <c r="E304" s="748" t="s">
        <v>3060</v>
      </c>
      <c r="H304" s="748">
        <f>'Part II-Development Team'!H100</f>
        <v>2077740501</v>
      </c>
      <c r="J304" s="748">
        <f>'Part II-Development Team'!J100</f>
        <v>204</v>
      </c>
      <c r="K304" s="748" t="s">
        <v>2832</v>
      </c>
      <c r="L304" s="748">
        <f>'Part II-Development Team'!L100</f>
        <v>2078790901</v>
      </c>
      <c r="N304" s="748" t="s">
        <v>3059</v>
      </c>
      <c r="O304" s="748" t="str">
        <f>'Part II-Development Team'!O100</f>
        <v>bpoulin@evergreenpartnershousing.com</v>
      </c>
    </row>
    <row r="305" spans="2:17" ht="6.6" customHeight="1"/>
    <row r="306" spans="2:17" ht="13.15" customHeight="1">
      <c r="B306" s="748" t="s">
        <v>3210</v>
      </c>
      <c r="C306" s="748" t="s">
        <v>382</v>
      </c>
      <c r="H306" s="748" t="str">
        <f>'Part II-Development Team'!H102</f>
        <v>Arnall Golden Gregory LLP</v>
      </c>
      <c r="O306" s="748" t="s">
        <v>3065</v>
      </c>
      <c r="Q306" s="748" t="str">
        <f>'Part II-Development Team'!Q102</f>
        <v>Jeff Adams</v>
      </c>
    </row>
    <row r="307" spans="2:17" ht="13.15" customHeight="1">
      <c r="E307" s="748" t="s">
        <v>1640</v>
      </c>
      <c r="H307" s="748" t="str">
        <f>'Part II-Development Team'!H103</f>
        <v>171 17th Street NW</v>
      </c>
      <c r="O307" s="748" t="s">
        <v>2774</v>
      </c>
      <c r="Q307" s="748" t="str">
        <f>'Part II-Development Team'!Q103</f>
        <v>Partner</v>
      </c>
    </row>
    <row r="308" spans="2:17" ht="13.15" customHeight="1">
      <c r="E308" s="748" t="s">
        <v>952</v>
      </c>
      <c r="H308" s="748" t="str">
        <f>'Part II-Development Team'!H104</f>
        <v xml:space="preserve">Atlanta </v>
      </c>
      <c r="O308" s="748" t="s">
        <v>2833</v>
      </c>
      <c r="Q308" s="748">
        <f>'Part II-Development Team'!Q104</f>
        <v>4048737014</v>
      </c>
    </row>
    <row r="309" spans="2:17" ht="13.15" customHeight="1">
      <c r="E309" s="748" t="s">
        <v>2829</v>
      </c>
      <c r="H309" s="748" t="str">
        <f>'Part II-Development Team'!H105</f>
        <v>GA</v>
      </c>
      <c r="I309" s="748" t="s">
        <v>3352</v>
      </c>
      <c r="J309" s="748">
        <f>'Part II-Development Team'!J105</f>
        <v>303631031</v>
      </c>
      <c r="O309" s="748" t="s">
        <v>3054</v>
      </c>
      <c r="Q309" s="748">
        <f>'Part II-Development Team'!Q105</f>
        <v>0</v>
      </c>
    </row>
    <row r="310" spans="2:17" ht="13.15" customHeight="1">
      <c r="E310" s="748" t="s">
        <v>3060</v>
      </c>
      <c r="H310" s="748">
        <f>'Part II-Development Team'!H106</f>
        <v>4048738500</v>
      </c>
      <c r="J310" s="748">
        <f>'Part II-Development Team'!J106</f>
        <v>7014</v>
      </c>
      <c r="K310" s="748" t="s">
        <v>2832</v>
      </c>
      <c r="L310" s="748">
        <f>'Part II-Development Team'!L106</f>
        <v>4048737015</v>
      </c>
      <c r="N310" s="748" t="s">
        <v>3059</v>
      </c>
      <c r="O310" s="748" t="str">
        <f>'Part II-Development Team'!O106</f>
        <v>jeffrey.adams@agg.com</v>
      </c>
    </row>
    <row r="311" spans="2:17" ht="6" customHeight="1"/>
    <row r="312" spans="2:17" ht="0.6" customHeight="1"/>
    <row r="313" spans="2:17" ht="13.15" customHeight="1">
      <c r="B313" s="748" t="s">
        <v>2761</v>
      </c>
      <c r="C313" s="748" t="s">
        <v>383</v>
      </c>
      <c r="H313" s="748" t="str">
        <f>'Part II-Development Team'!H109</f>
        <v>Otis Atwell</v>
      </c>
      <c r="O313" s="748" t="s">
        <v>3065</v>
      </c>
      <c r="Q313" s="748" t="str">
        <f>'Part II-Development Team'!Q109</f>
        <v>Steve Atwell</v>
      </c>
    </row>
    <row r="314" spans="2:17" ht="13.15" customHeight="1">
      <c r="E314" s="748" t="s">
        <v>1640</v>
      </c>
      <c r="H314" s="748" t="str">
        <f>'Part II-Development Team'!H110</f>
        <v xml:space="preserve">324 Gannett Drive </v>
      </c>
      <c r="O314" s="748" t="s">
        <v>2774</v>
      </c>
      <c r="Q314" s="748" t="str">
        <f>'Part II-Development Team'!Q110</f>
        <v>Principal</v>
      </c>
    </row>
    <row r="315" spans="2:17" ht="13.15" customHeight="1">
      <c r="E315" s="748" t="s">
        <v>952</v>
      </c>
      <c r="H315" s="748" t="str">
        <f>'Part II-Development Team'!H111</f>
        <v>South Portland</v>
      </c>
      <c r="O315" s="748" t="s">
        <v>2833</v>
      </c>
      <c r="Q315" s="748">
        <f>'Part II-Development Team'!Q111</f>
        <v>2077801100</v>
      </c>
    </row>
    <row r="316" spans="2:17" ht="13.15" customHeight="1">
      <c r="E316" s="748" t="s">
        <v>2829</v>
      </c>
      <c r="H316" s="748" t="str">
        <f>'Part II-Development Team'!H112</f>
        <v>ME</v>
      </c>
      <c r="I316" s="748" t="s">
        <v>3352</v>
      </c>
      <c r="J316" s="748">
        <f>'Part II-Development Team'!J112</f>
        <v>41063263</v>
      </c>
      <c r="O316" s="748" t="s">
        <v>3054</v>
      </c>
      <c r="Q316" s="748">
        <f>'Part II-Development Team'!Q112</f>
        <v>0</v>
      </c>
    </row>
    <row r="317" spans="2:17" ht="13.15" customHeight="1">
      <c r="E317" s="748" t="s">
        <v>3060</v>
      </c>
      <c r="H317" s="748">
        <f>'Part II-Development Team'!H113</f>
        <v>2077801100</v>
      </c>
      <c r="J317" s="748">
        <f>'Part II-Development Team'!J113</f>
        <v>0</v>
      </c>
      <c r="K317" s="748" t="s">
        <v>2832</v>
      </c>
      <c r="L317" s="748">
        <f>'Part II-Development Team'!L113</f>
        <v>2077801100</v>
      </c>
      <c r="N317" s="748" t="s">
        <v>3059</v>
      </c>
      <c r="O317" s="748" t="str">
        <f>'Part II-Development Team'!O113</f>
        <v>satwell@otisatwell.com</v>
      </c>
    </row>
    <row r="318" spans="2:17" ht="6.6" customHeight="1"/>
    <row r="319" spans="2:17" ht="13.15" customHeight="1">
      <c r="B319" s="748" t="s">
        <v>2762</v>
      </c>
      <c r="C319" s="748" t="s">
        <v>384</v>
      </c>
      <c r="H319" s="748" t="str">
        <f>'Part II-Development Team'!H115</f>
        <v>The Architectural Team, Inc.</v>
      </c>
      <c r="O319" s="748" t="s">
        <v>3065</v>
      </c>
      <c r="Q319" s="748" t="str">
        <f>'Part II-Development Team'!Q115</f>
        <v>Mike Binette</v>
      </c>
    </row>
    <row r="320" spans="2:17" ht="13.15" customHeight="1">
      <c r="E320" s="748" t="s">
        <v>1640</v>
      </c>
      <c r="H320" s="748" t="str">
        <f>'Part II-Development Team'!H116</f>
        <v>50 Commandant's Way</v>
      </c>
      <c r="O320" s="748" t="s">
        <v>2774</v>
      </c>
      <c r="Q320" s="748" t="str">
        <f>'Part II-Development Team'!Q116</f>
        <v>Vice President - Principal</v>
      </c>
    </row>
    <row r="321" spans="1:18" ht="13.15" customHeight="1">
      <c r="E321" s="748" t="s">
        <v>952</v>
      </c>
      <c r="H321" s="748" t="str">
        <f>'Part II-Development Team'!H117</f>
        <v>Chelsea</v>
      </c>
      <c r="O321" s="748" t="s">
        <v>2833</v>
      </c>
      <c r="Q321" s="748">
        <f>'Part II-Development Team'!Q117</f>
        <v>6178894402</v>
      </c>
    </row>
    <row r="322" spans="1:18" ht="13.15" customHeight="1">
      <c r="E322" s="748" t="s">
        <v>2829</v>
      </c>
      <c r="H322" s="748" t="str">
        <f>'Part II-Development Team'!H118</f>
        <v>MA</v>
      </c>
      <c r="I322" s="748" t="s">
        <v>3352</v>
      </c>
      <c r="J322" s="748">
        <f>'Part II-Development Team'!J118</f>
        <v>21504015</v>
      </c>
      <c r="O322" s="748" t="s">
        <v>3054</v>
      </c>
      <c r="Q322" s="748">
        <f>'Part II-Development Team'!Q118</f>
        <v>0</v>
      </c>
    </row>
    <row r="323" spans="1:18" ht="13.15" customHeight="1">
      <c r="E323" s="748" t="s">
        <v>3060</v>
      </c>
      <c r="H323" s="748">
        <f>'Part II-Development Team'!H119</f>
        <v>9168894402</v>
      </c>
      <c r="J323" s="748">
        <f>'Part II-Development Team'!J119</f>
        <v>511</v>
      </c>
      <c r="K323" s="748" t="s">
        <v>2832</v>
      </c>
      <c r="L323" s="748">
        <f>'Part II-Development Team'!L119</f>
        <v>6178844329</v>
      </c>
      <c r="N323" s="748" t="s">
        <v>3059</v>
      </c>
      <c r="O323" s="748" t="str">
        <f>'Part II-Development Team'!O119</f>
        <v>mbinette@architecturalteam.com</v>
      </c>
    </row>
    <row r="324" spans="1:18" ht="13.15" customHeight="1"/>
    <row r="325" spans="1:18" ht="13.15" customHeight="1">
      <c r="A325" s="748" t="s">
        <v>2822</v>
      </c>
      <c r="B325" s="748" t="s">
        <v>365</v>
      </c>
    </row>
    <row r="326" spans="1:18" ht="6.6" customHeight="1"/>
    <row r="327" spans="1:18" ht="21.6" customHeight="1">
      <c r="A327" s="748" t="s">
        <v>975</v>
      </c>
      <c r="E327" s="748" t="s">
        <v>4116</v>
      </c>
      <c r="F327" s="748" t="s">
        <v>3599</v>
      </c>
      <c r="G327" s="748" t="s">
        <v>4117</v>
      </c>
      <c r="J327" s="748" t="s">
        <v>4118</v>
      </c>
      <c r="L327" s="748" t="s">
        <v>4119</v>
      </c>
      <c r="N327" s="748" t="s">
        <v>4120</v>
      </c>
      <c r="P327" s="748" t="s">
        <v>3600</v>
      </c>
      <c r="R327" s="748" t="s">
        <v>3601</v>
      </c>
    </row>
    <row r="328" spans="1:18" ht="21.6" customHeight="1"/>
    <row r="329" spans="1:18" ht="21.6" customHeight="1"/>
    <row r="330" spans="1:18" ht="21.6" customHeight="1"/>
    <row r="331" spans="1:18" ht="21.6" customHeight="1"/>
    <row r="332" spans="1:18" ht="13.9" customHeight="1">
      <c r="A332" s="748" t="s">
        <v>3533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3525</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0.99990000000000001</v>
      </c>
    </row>
    <row r="336" spans="1:18" ht="13.9" customHeight="1">
      <c r="A336" s="748" t="s">
        <v>3526</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t="str">
        <f>'Part II-Development Team'!R132</f>
        <v>(Same as Federal LP)</v>
      </c>
    </row>
    <row r="337" spans="1:18" ht="13.9"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2279</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831</v>
      </c>
      <c r="R345" s="748">
        <f>SUM(R332:S344)</f>
        <v>1</v>
      </c>
    </row>
    <row r="346" spans="1:18" ht="12" customHeight="1"/>
    <row r="347" spans="1:18" ht="12" customHeight="1">
      <c r="A347" s="748" t="s">
        <v>2824</v>
      </c>
      <c r="C347" s="748" t="s">
        <v>878</v>
      </c>
      <c r="N347" s="748" t="s">
        <v>821</v>
      </c>
      <c r="O347" s="748" t="s">
        <v>89</v>
      </c>
    </row>
    <row r="348" spans="1:18" ht="3.6" customHeight="1"/>
    <row r="349" spans="1:18" ht="42.6" customHeight="1">
      <c r="A349" s="748" t="str">
        <f>'Part II-Development Team'!A145</f>
        <v>Section IV - #4 - Identity of Interest Disclosure: The principals of the managing general partner (Majestic Manor LLC), the developer (Evergreen Partners II LLC) and the management company (Preservation Management, Inc.) are the same individuals and they have an ownership interest in each of these entities.</v>
      </c>
      <c r="N349" s="748">
        <f>'Part II-Development Team'!N145</f>
        <v>0</v>
      </c>
    </row>
    <row r="350" spans="1:18" ht="42.6" customHeight="1">
      <c r="A350" s="748" t="str">
        <f>'Part II-Development Team'!A146</f>
        <v>Section IV - #8 - Project Ownership: Upon closing it is anticipated that a single limited partnership will purchase both the state and federal low income housing and historic tax credits associated with Briarcliff Summit.  It is expected their ownership % in The Seven Fifty Limited Partnership will be 99.99% and that the GP (Majestic Manor LLC) will hold a 0.01% interest and serve as the managing member.</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2011-015 Briarcliff Summit Apartments , Atlanta, Fulton County</v>
      </c>
    </row>
    <row r="356" spans="1:16">
      <c r="A356" s="748" t="s">
        <v>949</v>
      </c>
      <c r="B356" s="748" t="s">
        <v>3769</v>
      </c>
    </row>
    <row r="358" spans="1:16">
      <c r="B358" s="748" t="str">
        <f>'Part III A-Sources of Funds'!B5</f>
        <v>Yes</v>
      </c>
      <c r="C358" s="748" t="s">
        <v>3651</v>
      </c>
      <c r="E358" s="748" t="str">
        <f>'Part III A-Sources of Funds'!E5</f>
        <v>No</v>
      </c>
      <c r="F358" s="748" t="s">
        <v>1979</v>
      </c>
      <c r="J358" s="748">
        <f>'Part III A-Sources of Funds'!J5</f>
        <v>0</v>
      </c>
      <c r="M358" s="748" t="str">
        <f>'Part III A-Sources of Funds'!M5</f>
        <v>Yes</v>
      </c>
      <c r="N358" s="748" t="s">
        <v>844</v>
      </c>
    </row>
    <row r="359" spans="1:16">
      <c r="B359" s="748" t="str">
        <f>'Part III A-Sources of Funds'!B6</f>
        <v>No</v>
      </c>
      <c r="C359" s="748" t="s">
        <v>2834</v>
      </c>
      <c r="E359" s="748" t="str">
        <f>'Part III A-Sources of Funds'!E6</f>
        <v>No</v>
      </c>
      <c r="F359" s="748" t="s">
        <v>3310</v>
      </c>
      <c r="J359" s="748" t="str">
        <f>'Part III A-Sources of Funds'!J6</f>
        <v>No</v>
      </c>
      <c r="K359" s="748" t="s">
        <v>845</v>
      </c>
      <c r="M359" s="748" t="str">
        <f>'Part III A-Sources of Funds'!M6</f>
        <v>Yes</v>
      </c>
      <c r="N359" s="748" t="s">
        <v>843</v>
      </c>
    </row>
    <row r="360" spans="1:16">
      <c r="B360" s="748" t="str">
        <f>'Part III A-Sources of Funds'!B7</f>
        <v>No</v>
      </c>
      <c r="C360" s="748" t="s">
        <v>2835</v>
      </c>
      <c r="E360" s="748" t="str">
        <f>'Part III A-Sources of Funds'!E7</f>
        <v>No</v>
      </c>
      <c r="F360" s="748" t="s">
        <v>3309</v>
      </c>
      <c r="J360" s="748" t="str">
        <f>'Part III A-Sources of Funds'!J7</f>
        <v>No</v>
      </c>
      <c r="K360" s="748" t="s">
        <v>2289</v>
      </c>
      <c r="M360" s="748" t="str">
        <f>'Part III A-Sources of Funds'!M7</f>
        <v>No</v>
      </c>
      <c r="N360" s="748" t="s">
        <v>1980</v>
      </c>
      <c r="P360" s="748">
        <f>'Part III A-Sources of Funds'!P7</f>
        <v>0</v>
      </c>
    </row>
    <row r="361" spans="1:16">
      <c r="B361" s="748" t="str">
        <f>'Part III A-Sources of Funds'!B8</f>
        <v>No</v>
      </c>
      <c r="C361" s="748" t="s">
        <v>3913</v>
      </c>
      <c r="E361" s="748" t="str">
        <f>'Part III A-Sources of Funds'!E8</f>
        <v>No</v>
      </c>
      <c r="F361" s="748" t="s">
        <v>3914</v>
      </c>
      <c r="H361" s="748" t="str">
        <f>'Part III A-Sources of Funds'!H8</f>
        <v>No</v>
      </c>
      <c r="I361" s="748" t="s">
        <v>3652</v>
      </c>
      <c r="J361" s="748" t="str">
        <f>'Part III A-Sources of Funds'!J8</f>
        <v>No</v>
      </c>
      <c r="K361" s="748" t="s">
        <v>873</v>
      </c>
      <c r="M361" s="748" t="str">
        <f>'Part III A-Sources of Funds'!M8</f>
        <v>Yes</v>
      </c>
      <c r="N361" s="748" t="s">
        <v>3230</v>
      </c>
    </row>
    <row r="362" spans="1:16">
      <c r="B362" s="748" t="s">
        <v>310</v>
      </c>
    </row>
    <row r="364" spans="1:16">
      <c r="A364" s="748" t="s">
        <v>1228</v>
      </c>
      <c r="B364" s="748" t="s">
        <v>3493</v>
      </c>
    </row>
    <row r="366" spans="1:16">
      <c r="B366" s="748" t="s">
        <v>2925</v>
      </c>
      <c r="H366" s="748" t="s">
        <v>1996</v>
      </c>
      <c r="L366" s="748" t="s">
        <v>3066</v>
      </c>
      <c r="N366" s="748" t="s">
        <v>2256</v>
      </c>
      <c r="P366" s="748" t="s">
        <v>2535</v>
      </c>
    </row>
    <row r="367" spans="1:16">
      <c r="B367" s="748" t="s">
        <v>2346</v>
      </c>
      <c r="H367" s="748" t="str">
        <f>'Part III A-Sources of Funds'!H14</f>
        <v xml:space="preserve">Grandbridge Real Estate Capital LLC </v>
      </c>
      <c r="L367" s="748">
        <f>'Part III A-Sources of Funds'!L14</f>
        <v>7144800</v>
      </c>
      <c r="N367" s="748">
        <f>'Part III A-Sources of Funds'!N14</f>
        <v>6.7000000000000004E-2</v>
      </c>
      <c r="P367" s="748">
        <f>'Part III A-Sources of Funds'!P14</f>
        <v>480</v>
      </c>
    </row>
    <row r="368" spans="1:16">
      <c r="B368" s="748" t="s">
        <v>2347</v>
      </c>
      <c r="H368" s="748" t="str">
        <f>'Part III A-Sources of Funds'!H15</f>
        <v>Atlanta Housing Opportunity Bond Program</v>
      </c>
      <c r="L368" s="748">
        <f>'Part III A-Sources of Funds'!L15</f>
        <v>1500000</v>
      </c>
      <c r="N368" s="748">
        <f>'Part III A-Sources of Funds'!N15</f>
        <v>0.02</v>
      </c>
      <c r="P368" s="748">
        <f>'Part III A-Sources of Funds'!P15</f>
        <v>480</v>
      </c>
    </row>
    <row r="369" spans="1:17">
      <c r="B369" s="748" t="s">
        <v>2348</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f>'Part III A-Sources of Funds'!H20</f>
        <v>0</v>
      </c>
      <c r="L373" s="748">
        <f>'Part III A-Sources of Funds'!L20</f>
        <v>9850234</v>
      </c>
    </row>
    <row r="374" spans="1:17">
      <c r="B374" s="748" t="s">
        <v>1384</v>
      </c>
      <c r="H374" s="748">
        <f>'Part III A-Sources of Funds'!H21</f>
        <v>0</v>
      </c>
      <c r="L374" s="748">
        <f>'Part III A-Sources of Funds'!L21</f>
        <v>2897106</v>
      </c>
    </row>
    <row r="375" spans="1:17">
      <c r="B375" s="748" t="s">
        <v>309</v>
      </c>
      <c r="D375" s="748" t="str">
        <f>'Part III A-Sources of Funds'!D22</f>
        <v>Federal &amp; State Historic Tax Credit Equity</v>
      </c>
      <c r="H375" s="748">
        <f>'Part III A-Sources of Funds'!H22</f>
        <v>0</v>
      </c>
      <c r="L375" s="748">
        <f>'Part III A-Sources of Funds'!L22</f>
        <v>2426617</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23818757</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23818757</v>
      </c>
    </row>
    <row r="380" spans="1:17">
      <c r="B380" s="748" t="s">
        <v>3259</v>
      </c>
      <c r="L380" s="748">
        <f>L378-L379</f>
        <v>0</v>
      </c>
    </row>
    <row r="382" spans="1:17">
      <c r="A382" s="748" t="s">
        <v>1230</v>
      </c>
      <c r="B382" s="748" t="s">
        <v>1381</v>
      </c>
    </row>
    <row r="383" spans="1:17">
      <c r="J383" s="748" t="s">
        <v>3193</v>
      </c>
      <c r="K383" s="748" t="s">
        <v>1994</v>
      </c>
      <c r="L383" s="748" t="s">
        <v>1999</v>
      </c>
      <c r="M383" s="748" t="s">
        <v>40</v>
      </c>
      <c r="Q383" s="748" t="s">
        <v>3490</v>
      </c>
    </row>
    <row r="384" spans="1:17">
      <c r="B384" s="748" t="s">
        <v>2925</v>
      </c>
      <c r="E384" s="748" t="s">
        <v>1996</v>
      </c>
      <c r="H384" s="748" t="s">
        <v>718</v>
      </c>
      <c r="J384" s="748" t="s">
        <v>2842</v>
      </c>
      <c r="K384" s="748" t="s">
        <v>3330</v>
      </c>
      <c r="L384" s="748" t="s">
        <v>3330</v>
      </c>
      <c r="O384" s="748" t="s">
        <v>84</v>
      </c>
    </row>
    <row r="385" spans="2:19">
      <c r="B385" s="748" t="str">
        <f>IF(OR(E385 = "Neither",E385 = "&lt;&lt;Select applicable option&gt;&gt;"), "N/A","Mortgage A")</f>
        <v>Mortgage A</v>
      </c>
      <c r="E385" s="748" t="str">
        <f>'Part III A-Sources of Funds'!E32</f>
        <v>HUD Insured Loan</v>
      </c>
      <c r="H385" s="748">
        <f>'Part III A-Sources of Funds'!H32</f>
        <v>7144800</v>
      </c>
      <c r="J385" s="748">
        <f>'Part III A-Sources of Funds'!J32</f>
        <v>6.25E-2</v>
      </c>
      <c r="K385" s="748">
        <f>'Part III A-Sources of Funds'!K32</f>
        <v>40</v>
      </c>
      <c r="L385" s="748">
        <f>'Part III A-Sources of Funds'!L32</f>
        <v>40</v>
      </c>
      <c r="M385" s="748">
        <f>'Part III A-Sources of Funds'!M32</f>
        <v>486766.28439441242</v>
      </c>
      <c r="O385" s="748" t="str">
        <f>'Part III A-Sources of Funds'!O32</f>
        <v>Amortizing</v>
      </c>
      <c r="Q385" s="748" t="str">
        <f>'Part III A-Sources of Funds'!Q32</f>
        <v>n/a</v>
      </c>
    </row>
    <row r="386" spans="2:19">
      <c r="B386" s="748" t="str">
        <f>IF(OR(E385 = "Neither",E385 = "&lt;&lt;Select applicable option&gt;&gt;"), "Mortgage A","Mortgage B")</f>
        <v>Mortgage B</v>
      </c>
      <c r="E386" s="748">
        <f>'Part III A-Sources of Funds'!E33</f>
        <v>0</v>
      </c>
      <c r="H386" s="748">
        <f>'Part III A-Sources of Funds'!H33</f>
        <v>0</v>
      </c>
      <c r="J386" s="748">
        <f>'Part III A-Sources of Funds'!J33</f>
        <v>0</v>
      </c>
      <c r="K386" s="748">
        <f>'Part III A-Sources of Funds'!K33</f>
        <v>0</v>
      </c>
      <c r="L386" s="748">
        <f>'Part III A-Sources of Funds'!L33</f>
        <v>0</v>
      </c>
      <c r="M386" s="748" t="str">
        <f>'Part III A-Sources of Funds'!M33</f>
        <v/>
      </c>
      <c r="O386" s="748">
        <f>'Part III A-Sources of Funds'!O33</f>
        <v>0</v>
      </c>
      <c r="Q386" s="748">
        <f>'Part III A-Sources of Funds'!Q33</f>
        <v>0</v>
      </c>
    </row>
    <row r="387" spans="2:19">
      <c r="B387" s="748" t="str">
        <f>IF(OR(E385 = "Neither",E385 = "&lt;&lt;Select applicable option&gt;&gt;"), "Mortgage B","Mortgage C")</f>
        <v>Mortgage C</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1229</v>
      </c>
      <c r="C388" s="748" t="str">
        <f>'Part III A-Sources of Funds'!C35</f>
        <v xml:space="preserve">Loan </v>
      </c>
      <c r="E388" s="748" t="str">
        <f>'Part III A-Sources of Funds'!E35</f>
        <v xml:space="preserve">Atlanta Development Authority </v>
      </c>
      <c r="H388" s="748">
        <f>'Part III A-Sources of Funds'!H35</f>
        <v>1500000</v>
      </c>
      <c r="J388" s="748">
        <f>'Part III A-Sources of Funds'!J35</f>
        <v>0.02</v>
      </c>
      <c r="K388" s="748">
        <f>'Part III A-Sources of Funds'!K35</f>
        <v>40</v>
      </c>
      <c r="L388" s="748">
        <f>'Part III A-Sources of Funds'!L35</f>
        <v>40</v>
      </c>
      <c r="M388" s="748">
        <f>'Part III A-Sources of Funds'!M35</f>
        <v>54508.615045712293</v>
      </c>
      <c r="O388" s="748" t="str">
        <f>'Part III A-Sources of Funds'!O35</f>
        <v>Amortizing</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0.2404938888888889</v>
      </c>
      <c r="E390" s="748">
        <f>'Part III A-Sources of Funds'!E37</f>
        <v>0</v>
      </c>
      <c r="H390" s="748">
        <f>'Part III A-Sources of Funds'!H37</f>
        <v>432889</v>
      </c>
      <c r="J390" s="748">
        <f>'Part III A-Sources of Funds'!J37</f>
        <v>0</v>
      </c>
      <c r="K390" s="748">
        <f>'Part III A-Sources of Funds'!K37</f>
        <v>0</v>
      </c>
      <c r="L390" s="748">
        <f>'Part III A-Sources of Funds'!L37</f>
        <v>0</v>
      </c>
      <c r="M390" s="748">
        <f>'Part III A-Sources of Funds'!M37</f>
        <v>308118</v>
      </c>
      <c r="O390" s="748" t="str">
        <f>'Part III A-Sources of Funds'!O37</f>
        <v>Cash Flow</v>
      </c>
      <c r="Q390" s="748">
        <f>'Part III A-Sources of Funds'!Q37</f>
        <v>1</v>
      </c>
    </row>
    <row r="391" spans="2:19">
      <c r="B391" s="748" t="s">
        <v>3331</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3863</v>
      </c>
    </row>
    <row r="393" spans="2:19">
      <c r="B393" s="748" t="s">
        <v>1383</v>
      </c>
      <c r="E393" s="748" t="str">
        <f>'Part III A-Sources of Funds'!E40</f>
        <v>Wells Fargo</v>
      </c>
      <c r="H393" s="748">
        <f>'Part III A-Sources of Funds'!H40</f>
        <v>11686331</v>
      </c>
      <c r="J393" s="748">
        <f>'Part IV-Uses of Funds'!$J$165*10*'Part IV-Uses of Funds'!$N$158</f>
        <v>8075000</v>
      </c>
      <c r="L393" s="748">
        <f>H393-J393</f>
        <v>3611331</v>
      </c>
      <c r="M393" s="748" t="s">
        <v>2536</v>
      </c>
      <c r="S393" s="748">
        <f>H393/H403</f>
        <v>0.42240050863012157</v>
      </c>
    </row>
    <row r="394" spans="2:19">
      <c r="B394" s="748" t="s">
        <v>1384</v>
      </c>
      <c r="E394" s="748" t="str">
        <f>'Part III A-Sources of Funds'!E41</f>
        <v>Wells Fargo</v>
      </c>
      <c r="H394" s="748">
        <f>'Part III A-Sources of Funds'!H41</f>
        <v>3437156</v>
      </c>
      <c r="J394" s="748">
        <f>'Part IV-Uses of Funds'!$J$165*10*'Part IV-Uses of Funds'!$Q$158</f>
        <v>2375000</v>
      </c>
      <c r="L394" s="748">
        <f>H394-J394</f>
        <v>1062156</v>
      </c>
      <c r="S394" s="748">
        <f>H394/H403</f>
        <v>0.1242354373362413</v>
      </c>
    </row>
    <row r="395" spans="2:19">
      <c r="B395" s="748" t="s">
        <v>2119</v>
      </c>
      <c r="E395" s="748" t="str">
        <f>'Part III A-Sources of Funds'!E42</f>
        <v>Wells Fargo</v>
      </c>
      <c r="H395" s="748">
        <f>'Part III A-Sources of Funds'!H42</f>
        <v>2878962</v>
      </c>
      <c r="M395" s="748" t="s">
        <v>3020</v>
      </c>
      <c r="N395" s="748" t="s">
        <v>3021</v>
      </c>
      <c r="O395" s="748">
        <v>8</v>
      </c>
      <c r="P395" s="748">
        <v>9</v>
      </c>
      <c r="Q395" s="748">
        <v>10</v>
      </c>
      <c r="S395" s="748">
        <f>SUM(S393:S394)</f>
        <v>0.54663594596636289</v>
      </c>
    </row>
    <row r="396" spans="2:19">
      <c r="B396" s="748" t="s">
        <v>823</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586332</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27666470</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27666470</v>
      </c>
      <c r="M403" s="748">
        <v>26</v>
      </c>
      <c r="N403" s="748">
        <v>27</v>
      </c>
      <c r="O403" s="748">
        <v>28</v>
      </c>
      <c r="P403" s="748">
        <v>29</v>
      </c>
      <c r="Q403" s="748">
        <v>30</v>
      </c>
    </row>
    <row r="404" spans="1:17">
      <c r="B404" s="748" t="s">
        <v>2275</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878</v>
      </c>
      <c r="K406" s="748" t="s">
        <v>2822</v>
      </c>
      <c r="L406" s="748" t="s">
        <v>89</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2011-015 Briarcliff Summit Apartments , Atlanta, Fulton County</v>
      </c>
    </row>
    <row r="415" spans="1:17" ht="10.9" customHeight="1"/>
    <row r="416" spans="1:17" ht="14.45"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744</v>
      </c>
      <c r="C419" s="748">
        <v>0</v>
      </c>
      <c r="D419" s="748" t="s">
        <v>745</v>
      </c>
    </row>
    <row r="420" spans="1:5">
      <c r="B420" s="748" t="s">
        <v>3750</v>
      </c>
      <c r="C420" s="748">
        <f>'Part III B-USDA 538 Loan'!C7</f>
        <v>0</v>
      </c>
      <c r="D420" s="748" t="s">
        <v>2658</v>
      </c>
    </row>
    <row r="421" spans="1:5" ht="13.15" customHeight="1">
      <c r="A421" s="748" t="s">
        <v>3738</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2011-015 Briarcliff Summit Apartments , Atlanta, Fulton County</v>
      </c>
      <c r="G471" s="748" t="str">
        <f>CONCATENATE('Part I-Project Information'!$O$4," ",'Part I-Project Information'!$F$22,", ",'Part I-Project Information'!$F$24,", ",'Part I-Project Information'!$J$25," County")</f>
        <v>2011-015 Briarcliff Summit Apartments , Atlanta, Fulton County</v>
      </c>
    </row>
    <row r="472" spans="1:12">
      <c r="A472" s="748" t="s">
        <v>3742</v>
      </c>
      <c r="G472" s="748" t="s">
        <v>3742</v>
      </c>
    </row>
    <row r="473" spans="1:12" ht="6" customHeight="1"/>
    <row r="474" spans="1:12">
      <c r="A474" s="748" t="s">
        <v>3743</v>
      </c>
      <c r="B474" s="748" t="s">
        <v>3744</v>
      </c>
      <c r="C474" s="748" t="s">
        <v>1993</v>
      </c>
      <c r="D474" s="748" t="s">
        <v>3745</v>
      </c>
      <c r="E474" s="748" t="s">
        <v>3746</v>
      </c>
      <c r="F474" s="748" t="s">
        <v>3752</v>
      </c>
      <c r="G474" s="748" t="s">
        <v>3743</v>
      </c>
      <c r="H474" s="748" t="s">
        <v>3744</v>
      </c>
      <c r="I474" s="748" t="s">
        <v>1993</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2011-015 Briarcliff Summit Apartments , Atlanta, Fulton County</v>
      </c>
    </row>
    <row r="961" spans="1:5" ht="15.6" customHeight="1">
      <c r="A961" s="748" t="s">
        <v>278</v>
      </c>
    </row>
    <row r="963" spans="1:5" ht="13.15" customHeight="1">
      <c r="A963" s="748" t="s">
        <v>3384</v>
      </c>
      <c r="D963" s="748">
        <f>'Part III C-HUD Insured Loan'!D5</f>
        <v>7144800</v>
      </c>
      <c r="E963" s="748" t="s">
        <v>1551</v>
      </c>
    </row>
    <row r="965" spans="1:5">
      <c r="A965" s="748" t="s">
        <v>3734</v>
      </c>
      <c r="C965" s="748" t="s">
        <v>3735</v>
      </c>
      <c r="D965" s="748">
        <f>'Part III C-HUD Insured Loan'!D7</f>
        <v>0.06</v>
      </c>
    </row>
    <row r="966" spans="1:5">
      <c r="C966" s="748" t="s">
        <v>3736</v>
      </c>
      <c r="D966" s="748">
        <f>'Part III C-HUD Insured Loan'!D8</f>
        <v>1.1999999999999999E-3</v>
      </c>
    </row>
    <row r="967" spans="1:5">
      <c r="C967" s="748" t="s">
        <v>3737</v>
      </c>
      <c r="D967" s="748">
        <f>'Part III C-HUD Insured Loan'!D9</f>
        <v>1.2999999999999999E-3</v>
      </c>
    </row>
    <row r="968" spans="1:5">
      <c r="C968" s="748" t="s">
        <v>3750</v>
      </c>
      <c r="D968" s="748">
        <f>D965+D966+D967</f>
        <v>6.25E-2</v>
      </c>
    </row>
    <row r="970" spans="1:5">
      <c r="A970" s="748" t="s">
        <v>2740</v>
      </c>
      <c r="D970" s="748">
        <f>'Part III C-HUD Insured Loan'!D12</f>
        <v>4.4999999999999997E-3</v>
      </c>
      <c r="E970" s="748" t="s">
        <v>3229</v>
      </c>
    </row>
    <row r="972" spans="1:5">
      <c r="A972" s="748" t="s">
        <v>3739</v>
      </c>
      <c r="D972" s="748">
        <f>'Part III C-HUD Insured Loan'!D14</f>
        <v>40</v>
      </c>
      <c r="E972" s="748" t="s">
        <v>3740</v>
      </c>
    </row>
    <row r="974" spans="1:5">
      <c r="A974" s="748" t="s">
        <v>3741</v>
      </c>
      <c r="D974" s="748">
        <f>'Part III C-HUD Insured Loan'!D16</f>
        <v>40</v>
      </c>
      <c r="E974" s="748" t="s">
        <v>3740</v>
      </c>
    </row>
    <row r="976" spans="1:5">
      <c r="A976" s="748" t="s">
        <v>1524</v>
      </c>
      <c r="D976" s="748">
        <f>PMT(D968/12,D974*12,-D963,0,0)*12</f>
        <v>486766.28439441242</v>
      </c>
      <c r="E976" s="748" t="s">
        <v>2244</v>
      </c>
    </row>
    <row r="978" spans="1:6">
      <c r="A978" s="748" t="s">
        <v>2245</v>
      </c>
      <c r="D978" s="748">
        <f>D976/12</f>
        <v>40563.857032867701</v>
      </c>
      <c r="E978" s="748" t="s">
        <v>2244</v>
      </c>
    </row>
    <row r="982" spans="1:6" ht="18" customHeight="1">
      <c r="A982" s="748" t="s">
        <v>2741</v>
      </c>
    </row>
    <row r="984" spans="1:6">
      <c r="C984" s="748" t="s">
        <v>3383</v>
      </c>
      <c r="F984" s="748" t="s">
        <v>3383</v>
      </c>
    </row>
    <row r="985" spans="1:6">
      <c r="A985" s="748" t="s">
        <v>3752</v>
      </c>
      <c r="B985" s="748" t="s">
        <v>1645</v>
      </c>
      <c r="D985" s="748" t="s">
        <v>3752</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2011-015 Briarcliff Summit Apartments , Atlanta, Fulton County</v>
      </c>
    </row>
    <row r="1009" spans="1:6">
      <c r="A1009" s="748" t="s">
        <v>3742</v>
      </c>
    </row>
    <row r="1010" spans="1:6" ht="5.45" customHeight="1"/>
    <row r="1011" spans="1:6">
      <c r="A1011" s="748" t="s">
        <v>3743</v>
      </c>
      <c r="B1011" s="748" t="s">
        <v>3744</v>
      </c>
      <c r="C1011" s="748" t="s">
        <v>1993</v>
      </c>
      <c r="D1011" s="748" t="s">
        <v>3745</v>
      </c>
      <c r="E1011" s="748" t="s">
        <v>3746</v>
      </c>
      <c r="F1011" s="748" t="s">
        <v>3752</v>
      </c>
    </row>
    <row r="1012" spans="1:6" ht="3.6" customHeight="1"/>
    <row r="1013" spans="1:6">
      <c r="A1013" s="748" t="s">
        <v>3747</v>
      </c>
      <c r="E1013" s="748">
        <f>D963</f>
        <v>7144800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2011-015 Briarcliff Summit Apartments , ,  County</v>
      </c>
    </row>
    <row r="1498" spans="1:19" ht="4.9000000000000004" customHeight="1"/>
    <row r="1499" spans="1:19" ht="15" customHeight="1">
      <c r="A1499" s="748" t="s">
        <v>358</v>
      </c>
    </row>
    <row r="1500" spans="1:19" ht="1.9"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3077</v>
      </c>
      <c r="G1504" s="748">
        <f>'Part IV-Uses of Funds'!G8</f>
        <v>0</v>
      </c>
      <c r="J1504" s="748">
        <f>'Part IV-Uses of Funds'!J8</f>
        <v>0</v>
      </c>
      <c r="M1504" s="748">
        <f>'Part IV-Uses of Funds'!M8</f>
        <v>0</v>
      </c>
      <c r="P1504" s="748">
        <f>'Part IV-Uses of Funds'!P8</f>
        <v>0</v>
      </c>
      <c r="S1504" s="748">
        <f>'Part IV-Uses of Funds'!S8</f>
        <v>0</v>
      </c>
    </row>
    <row r="1505" spans="1:21" ht="12.6" customHeight="1">
      <c r="B1505" s="748" t="s">
        <v>671</v>
      </c>
      <c r="G1505" s="748">
        <f>'Part IV-Uses of Funds'!G9</f>
        <v>10000</v>
      </c>
      <c r="J1505" s="748">
        <f>'Part IV-Uses of Funds'!J9</f>
        <v>0</v>
      </c>
      <c r="M1505" s="748">
        <f>'Part IV-Uses of Funds'!M9</f>
        <v>0</v>
      </c>
      <c r="P1505" s="748">
        <f>'Part IV-Uses of Funds'!P9</f>
        <v>10000</v>
      </c>
      <c r="S1505" s="748">
        <f>'Part IV-Uses of Funds'!S9</f>
        <v>0</v>
      </c>
    </row>
    <row r="1506" spans="1:21" ht="12.6" customHeight="1">
      <c r="B1506" s="748" t="s">
        <v>716</v>
      </c>
      <c r="G1506" s="748">
        <f>'Part IV-Uses of Funds'!G10</f>
        <v>5730</v>
      </c>
      <c r="J1506" s="748">
        <f>'Part IV-Uses of Funds'!J10</f>
        <v>0</v>
      </c>
      <c r="M1506" s="748">
        <f>'Part IV-Uses of Funds'!M10</f>
        <v>0</v>
      </c>
      <c r="P1506" s="748">
        <f>'Part IV-Uses of Funds'!P10</f>
        <v>5730</v>
      </c>
      <c r="S1506" s="748">
        <f>'Part IV-Uses of Funds'!S10</f>
        <v>0</v>
      </c>
    </row>
    <row r="1507" spans="1:21" ht="12.6" customHeight="1">
      <c r="B1507" s="748" t="s">
        <v>717</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3778</v>
      </c>
      <c r="G1508" s="748">
        <f>'Part IV-Uses of Funds'!G12</f>
        <v>10000</v>
      </c>
      <c r="J1508" s="748">
        <f>'Part IV-Uses of Funds'!J12</f>
        <v>0</v>
      </c>
      <c r="M1508" s="748">
        <f>'Part IV-Uses of Funds'!M12</f>
        <v>0</v>
      </c>
      <c r="P1508" s="748">
        <f>'Part IV-Uses of Funds'!P12</f>
        <v>10000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Environmental Testing During Renovations</v>
      </c>
      <c r="G1510" s="748">
        <f>'Part IV-Uses of Funds'!G14</f>
        <v>35000</v>
      </c>
      <c r="J1510" s="748">
        <f>'Part IV-Uses of Funds'!J14</f>
        <v>0</v>
      </c>
      <c r="M1510" s="748">
        <f>'Part IV-Uses of Funds'!M14</f>
        <v>0</v>
      </c>
      <c r="P1510" s="748">
        <f>'Part IV-Uses of Funds'!P14</f>
        <v>35000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Capital Needs Assessment</v>
      </c>
      <c r="G1511" s="748">
        <f>'Part IV-Uses of Funds'!G15</f>
        <v>7500</v>
      </c>
      <c r="J1511" s="748">
        <f>'Part IV-Uses of Funds'!J15</f>
        <v>0</v>
      </c>
      <c r="M1511" s="748">
        <f>'Part IV-Uses of Funds'!M15</f>
        <v>0</v>
      </c>
      <c r="P1511" s="748">
        <f>'Part IV-Uses of Funds'!P15</f>
        <v>7500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 xml:space="preserve">Travel Expenses </v>
      </c>
      <c r="G1512" s="748">
        <f>'Part IV-Uses of Funds'!G16</f>
        <v>15000</v>
      </c>
      <c r="J1512" s="748">
        <f>'Part IV-Uses of Funds'!J16</f>
        <v>0</v>
      </c>
      <c r="M1512" s="748">
        <f>'Part IV-Uses of Funds'!M16</f>
        <v>0</v>
      </c>
      <c r="P1512" s="748">
        <f>'Part IV-Uses of Funds'!P16</f>
        <v>15000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83230</v>
      </c>
      <c r="J1513" s="748">
        <f>SUM(J1504:K1512)</f>
        <v>0</v>
      </c>
      <c r="M1513" s="748">
        <f>SUM(M1504:N1512)</f>
        <v>0</v>
      </c>
      <c r="P1513" s="748">
        <f>SUM(P1504:Q1512)</f>
        <v>83230</v>
      </c>
      <c r="S1513" s="748">
        <f>SUM(S1504:T1512)</f>
        <v>0</v>
      </c>
    </row>
    <row r="1514" spans="1:21" ht="13.15" customHeight="1">
      <c r="B1514" s="748" t="s">
        <v>3304</v>
      </c>
      <c r="O1514" s="748" t="str">
        <f>B1514</f>
        <v>ACQUISITION</v>
      </c>
    </row>
    <row r="1515" spans="1:21" ht="12.6" customHeight="1">
      <c r="B1515" s="748" t="s">
        <v>3305</v>
      </c>
      <c r="G1515" s="748">
        <f>'Part IV-Uses of Funds'!G19</f>
        <v>2000000</v>
      </c>
      <c r="S1515" s="748">
        <f>'Part IV-Uses of Funds'!S19</f>
        <v>0</v>
      </c>
    </row>
    <row r="1516" spans="1:21" ht="12.6" customHeight="1">
      <c r="B1516" s="748" t="s">
        <v>1749</v>
      </c>
      <c r="G1516" s="748">
        <f>'Part IV-Uses of Funds'!G20</f>
        <v>0</v>
      </c>
      <c r="S1516" s="748">
        <f>'Part IV-Uses of Funds'!S20</f>
        <v>0</v>
      </c>
    </row>
    <row r="1517" spans="1:21" ht="12.6" customHeight="1">
      <c r="B1517" s="748" t="s">
        <v>672</v>
      </c>
      <c r="G1517" s="748">
        <f>'Part IV-Uses of Funds'!G21</f>
        <v>30000</v>
      </c>
      <c r="M1517" s="748">
        <f>'Part IV-Uses of Funds'!M21</f>
        <v>30000</v>
      </c>
      <c r="S1517" s="748">
        <f>'Part IV-Uses of Funds'!S21</f>
        <v>0</v>
      </c>
    </row>
    <row r="1518" spans="1:21" ht="12.6" customHeight="1">
      <c r="B1518" s="748" t="s">
        <v>637</v>
      </c>
      <c r="G1518" s="748">
        <f>'Part IV-Uses of Funds'!G22</f>
        <v>7700000</v>
      </c>
      <c r="M1518" s="748">
        <f>'Part IV-Uses of Funds'!M22</f>
        <v>7700000</v>
      </c>
      <c r="S1518" s="748">
        <f>'Part IV-Uses of Funds'!S22</f>
        <v>0</v>
      </c>
    </row>
    <row r="1519" spans="1:21" ht="12.6" customHeight="1">
      <c r="F1519" s="748" t="s">
        <v>249</v>
      </c>
      <c r="G1519" s="748">
        <f>SUM(G1515:H1518)</f>
        <v>9730000</v>
      </c>
      <c r="M1519" s="748">
        <f>SUM(M1517:N1518)</f>
        <v>7730000</v>
      </c>
      <c r="S1519" s="748">
        <f>SUM(S1515:T1518)</f>
        <v>0</v>
      </c>
    </row>
    <row r="1520" spans="1:21" ht="13.15" customHeight="1">
      <c r="B1520" s="748" t="s">
        <v>1750</v>
      </c>
      <c r="O1520" s="748" t="str">
        <f>B1520</f>
        <v>LAND IMPROVEMENTS</v>
      </c>
    </row>
    <row r="1521" spans="2:19" ht="12.6" customHeight="1">
      <c r="B1521" s="748" t="s">
        <v>1751</v>
      </c>
      <c r="G1521" s="748">
        <f>'Part IV-Uses of Funds'!G25</f>
        <v>35000</v>
      </c>
      <c r="J1521" s="748">
        <f>'Part IV-Uses of Funds'!J25</f>
        <v>0</v>
      </c>
      <c r="M1521" s="748">
        <f>'Part IV-Uses of Funds'!M25</f>
        <v>0</v>
      </c>
      <c r="P1521" s="748">
        <f>'Part IV-Uses of Funds'!P25</f>
        <v>35000</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35000</v>
      </c>
      <c r="J1523" s="748">
        <f>SUM(J1521:K1522)</f>
        <v>0</v>
      </c>
      <c r="M1523" s="748">
        <f>M1521</f>
        <v>0</v>
      </c>
      <c r="P1523" s="748">
        <f>P1521</f>
        <v>35000</v>
      </c>
      <c r="S1523" s="748">
        <f>SUM(S1521:T1522)</f>
        <v>0</v>
      </c>
    </row>
    <row r="1524" spans="2:19" ht="13.15"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9993199</v>
      </c>
      <c r="J1526" s="748">
        <f>'Part IV-Uses of Funds'!J30</f>
        <v>0</v>
      </c>
      <c r="M1526" s="748">
        <f>'Part IV-Uses of Funds'!M30</f>
        <v>0</v>
      </c>
      <c r="P1526" s="748">
        <f>'Part IV-Uses of Funds'!P30</f>
        <v>9993199</v>
      </c>
      <c r="S1526" s="748">
        <f>'Part IV-Uses of Funds'!S30</f>
        <v>0</v>
      </c>
    </row>
    <row r="1527" spans="2:19" ht="12.6" customHeight="1">
      <c r="B1527" s="748" t="s">
        <v>1756</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9993199</v>
      </c>
      <c r="J1528" s="748">
        <f>SUM(J1525:K1527)</f>
        <v>0</v>
      </c>
      <c r="M1528" s="748">
        <f>SUM(M1525:N1527)</f>
        <v>0</v>
      </c>
      <c r="P1528" s="748">
        <f>SUM(P1525:Q1527)</f>
        <v>9993199</v>
      </c>
      <c r="S1528" s="748">
        <f>SUM(S1525:T1527)</f>
        <v>0</v>
      </c>
    </row>
    <row r="1529" spans="2:19" ht="13.15"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601691</v>
      </c>
      <c r="J1530" s="748">
        <f>'Part IV-Uses of Funds'!J34</f>
        <v>0</v>
      </c>
      <c r="M1530" s="748">
        <f>'Part IV-Uses of Funds'!M34</f>
        <v>0</v>
      </c>
      <c r="P1530" s="748">
        <f>'Part IV-Uses of Funds'!P34</f>
        <v>601691</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802256</v>
      </c>
      <c r="J1531" s="748">
        <f>'Part IV-Uses of Funds'!J35</f>
        <v>0</v>
      </c>
      <c r="M1531" s="748">
        <f>'Part IV-Uses of Funds'!M35</f>
        <v>0</v>
      </c>
      <c r="P1531" s="748">
        <f>'Part IV-Uses of Funds'!P35</f>
        <v>802256</v>
      </c>
      <c r="S1531" s="748">
        <f>'Part IV-Uses of Funds'!S35</f>
        <v>0</v>
      </c>
    </row>
    <row r="1532" spans="2:19" ht="12.6" customHeight="1">
      <c r="B1532" s="748" t="s">
        <v>3129</v>
      </c>
      <c r="F1532" s="748" t="s">
        <v>249</v>
      </c>
      <c r="G1532" s="748">
        <f>SUM(G1530:H1531)</f>
        <v>1403947</v>
      </c>
      <c r="J1532" s="748">
        <f>SUM(J1530:K1531)</f>
        <v>0</v>
      </c>
      <c r="M1532" s="748">
        <f>SUM(M1530:N1531)</f>
        <v>0</v>
      </c>
      <c r="P1532" s="748">
        <f>SUM(P1530:Q1531)</f>
        <v>1403947</v>
      </c>
      <c r="S1532" s="748">
        <f>SUM(S1530:T1531)</f>
        <v>0</v>
      </c>
    </row>
    <row r="1533" spans="2:19" ht="6" customHeight="1"/>
    <row r="1534" spans="2:19" ht="12.6" customHeight="1">
      <c r="B1534" s="748" t="s">
        <v>1759</v>
      </c>
      <c r="D1534" s="748">
        <f>B1535/'Part VI-Revenues &amp; Expenses'!$M$63</f>
        <v>56876.348258706465</v>
      </c>
      <c r="F1534" s="748" t="s">
        <v>2109</v>
      </c>
    </row>
    <row r="1535" spans="2:19" ht="12.6" customHeight="1">
      <c r="B1535" s="748">
        <f>G1523+G1528+G1532</f>
        <v>11432146</v>
      </c>
      <c r="D1535" s="748">
        <f>B1535/'Part VI-Revenues &amp; Expenses'!$M$98</f>
        <v>106.32378489983445</v>
      </c>
      <c r="F1535" s="748" t="s">
        <v>1336</v>
      </c>
    </row>
    <row r="1536" spans="2:19" ht="6" customHeight="1"/>
    <row r="1537" spans="1:21" ht="13.15" customHeight="1">
      <c r="B1537" s="748" t="s">
        <v>1757</v>
      </c>
      <c r="O1537" s="748" t="str">
        <f>B1537</f>
        <v>CONSTRUCTION CONTINGENCY</v>
      </c>
    </row>
    <row r="1538" spans="1:21" ht="12.6" customHeight="1">
      <c r="B1538" s="748" t="s">
        <v>3036</v>
      </c>
      <c r="F1538" s="748" t="e">
        <f>G1538/$B$39</f>
        <v>#DIV/0!</v>
      </c>
      <c r="G1538" s="748">
        <f>'Part IV-Uses of Funds'!G42</f>
        <v>500000</v>
      </c>
      <c r="J1538" s="748">
        <f>'Part IV-Uses of Funds'!J42</f>
        <v>0</v>
      </c>
      <c r="M1538" s="748">
        <f>'Part IV-Uses of Funds'!M42</f>
        <v>0</v>
      </c>
      <c r="P1538" s="748">
        <f>'Part IV-Uses of Funds'!P42</f>
        <v>500000</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15" customHeight="1">
      <c r="B1543" s="748" t="s">
        <v>1090</v>
      </c>
      <c r="O1543" s="748" t="str">
        <f>B1543</f>
        <v>CONSTRUCTION PERIOD FINANCING</v>
      </c>
    </row>
    <row r="1544" spans="1:21" ht="13.15" customHeight="1">
      <c r="B1544" s="748" t="s">
        <v>3494</v>
      </c>
      <c r="G1544" s="748">
        <f>'Part IV-Uses of Funds'!G48</f>
        <v>293582</v>
      </c>
      <c r="J1544" s="748">
        <f>'Part IV-Uses of Funds'!J48</f>
        <v>0</v>
      </c>
      <c r="M1544" s="748">
        <f>'Part IV-Uses of Funds'!M48</f>
        <v>21434</v>
      </c>
      <c r="P1544" s="748">
        <f>'Part IV-Uses of Funds'!P48</f>
        <v>0</v>
      </c>
      <c r="S1544" s="748">
        <f>'Part IV-Uses of Funds'!S48</f>
        <v>0</v>
      </c>
    </row>
    <row r="1545" spans="1:21" ht="13.15" customHeight="1">
      <c r="B1545" s="748" t="s">
        <v>3495</v>
      </c>
      <c r="G1545" s="748">
        <f>'Part IV-Uses of Funds'!G49</f>
        <v>476550</v>
      </c>
      <c r="J1545" s="748">
        <f>'Part IV-Uses of Funds'!J49</f>
        <v>0</v>
      </c>
      <c r="M1545" s="748">
        <f>'Part IV-Uses of Funds'!M49</f>
        <v>0</v>
      </c>
      <c r="P1545" s="748">
        <f>'Part IV-Uses of Funds'!P49</f>
        <v>95310</v>
      </c>
      <c r="S1545" s="748">
        <f>'Part IV-Uses of Funds'!S49</f>
        <v>0</v>
      </c>
    </row>
    <row r="1546" spans="1:21" ht="13.15" customHeight="1">
      <c r="B1546" s="748" t="s">
        <v>3496</v>
      </c>
      <c r="G1546" s="748">
        <f>'Part IV-Uses of Funds'!G50</f>
        <v>30000</v>
      </c>
      <c r="J1546" s="748">
        <f>'Part IV-Uses of Funds'!J50</f>
        <v>0</v>
      </c>
      <c r="M1546" s="748">
        <f>'Part IV-Uses of Funds'!M50</f>
        <v>0</v>
      </c>
      <c r="P1546" s="748">
        <f>'Part IV-Uses of Funds'!P50</f>
        <v>0</v>
      </c>
      <c r="S1546" s="748">
        <f>'Part IV-Uses of Funds'!S50</f>
        <v>0</v>
      </c>
    </row>
    <row r="1547" spans="1:21" ht="13.15" customHeight="1">
      <c r="B1547" s="748" t="s">
        <v>1091</v>
      </c>
      <c r="G1547" s="748">
        <f>'Part IV-Uses of Funds'!G51</f>
        <v>177691</v>
      </c>
      <c r="J1547" s="748">
        <f>'Part IV-Uses of Funds'!J51</f>
        <v>0</v>
      </c>
      <c r="M1547" s="748">
        <f>'Part IV-Uses of Funds'!M51</f>
        <v>0</v>
      </c>
      <c r="P1547" s="748">
        <f>'Part IV-Uses of Funds'!P51</f>
        <v>35538</v>
      </c>
      <c r="S1547" s="748">
        <f>'Part IV-Uses of Funds'!S51</f>
        <v>0</v>
      </c>
    </row>
    <row r="1548" spans="1:21" ht="13.15" customHeight="1">
      <c r="B1548" s="748" t="s">
        <v>3497</v>
      </c>
      <c r="G1548" s="748">
        <f>'Part IV-Uses of Funds'!G52</f>
        <v>57455</v>
      </c>
      <c r="J1548" s="748">
        <f>'Part IV-Uses of Funds'!J52</f>
        <v>0</v>
      </c>
      <c r="M1548" s="748">
        <f>'Part IV-Uses of Funds'!M52</f>
        <v>0</v>
      </c>
      <c r="P1548" s="748">
        <f>'Part IV-Uses of Funds'!P52</f>
        <v>11491</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75211</v>
      </c>
      <c r="J1550" s="748">
        <f>'Part IV-Uses of Funds'!J54</f>
        <v>0</v>
      </c>
      <c r="M1550" s="748">
        <f>'Part IV-Uses of Funds'!M54</f>
        <v>0</v>
      </c>
      <c r="P1550" s="748">
        <f>'Part IV-Uses of Funds'!P54</f>
        <v>75211</v>
      </c>
      <c r="S1550" s="748">
        <f>'Part IV-Uses of Funds'!S54</f>
        <v>0</v>
      </c>
    </row>
    <row r="1551" spans="1:21" ht="13.15" customHeight="1">
      <c r="A1551" s="748" t="str">
        <f>IF(AND(G1551&gt;0,OR(C1551="",C1551="&lt;Enter detailed description here; use Comments section if needed&gt;")),"X","")</f>
        <v/>
      </c>
      <c r="B1551" s="748" t="s">
        <v>1229</v>
      </c>
      <c r="C1551" s="748" t="str">
        <f>'Part IV-Uses of Funds'!C55</f>
        <v>Lender Plan Review &amp; Property Inspection</v>
      </c>
      <c r="G1551" s="748">
        <f>'Part IV-Uses of Funds'!G55</f>
        <v>20000</v>
      </c>
      <c r="J1551" s="748">
        <f>'Part IV-Uses of Funds'!J55</f>
        <v>0</v>
      </c>
      <c r="M1551" s="748">
        <f>'Part IV-Uses of Funds'!M55</f>
        <v>0</v>
      </c>
      <c r="P1551" s="748">
        <f>'Part IV-Uses of Funds'!P55</f>
        <v>20000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1130489</v>
      </c>
      <c r="J1552" s="748">
        <f>SUM(J1544:K1551)</f>
        <v>0</v>
      </c>
      <c r="M1552" s="748">
        <f>SUM(M1544:N1551)</f>
        <v>21434</v>
      </c>
      <c r="P1552" s="748">
        <f>SUM(P1544:Q1551)</f>
        <v>237550</v>
      </c>
      <c r="S1552" s="748">
        <f>SUM(S1544:T1551)</f>
        <v>0</v>
      </c>
    </row>
    <row r="1553" spans="1:21" ht="13.15" customHeight="1">
      <c r="B1553" s="748" t="s">
        <v>704</v>
      </c>
      <c r="O1553" s="748" t="str">
        <f>B1553</f>
        <v>PROFESSIONAL SERVICES</v>
      </c>
    </row>
    <row r="1554" spans="1:21" ht="13.15" customHeight="1">
      <c r="B1554" s="748" t="s">
        <v>705</v>
      </c>
      <c r="G1554" s="748">
        <f>'Part IV-Uses of Funds'!G58</f>
        <v>393750</v>
      </c>
      <c r="J1554" s="748">
        <f>'Part IV-Uses of Funds'!J58</f>
        <v>0</v>
      </c>
      <c r="M1554" s="748">
        <f>'Part IV-Uses of Funds'!M58</f>
        <v>0</v>
      </c>
      <c r="P1554" s="748">
        <f>'Part IV-Uses of Funds'!P58</f>
        <v>393750</v>
      </c>
      <c r="S1554" s="748">
        <f>'Part IV-Uses of Funds'!S58</f>
        <v>0</v>
      </c>
    </row>
    <row r="1555" spans="1:21" ht="13.15" customHeight="1">
      <c r="B1555" s="748" t="s">
        <v>706</v>
      </c>
      <c r="G1555" s="748">
        <f>'Part IV-Uses of Funds'!G59</f>
        <v>131250</v>
      </c>
      <c r="J1555" s="748">
        <f>'Part IV-Uses of Funds'!J59</f>
        <v>0</v>
      </c>
      <c r="M1555" s="748">
        <f>'Part IV-Uses of Funds'!M59</f>
        <v>0</v>
      </c>
      <c r="P1555" s="748">
        <f>'Part IV-Uses of Funds'!P59</f>
        <v>131250</v>
      </c>
      <c r="S1555" s="748">
        <f>'Part IV-Uses of Funds'!S59</f>
        <v>0</v>
      </c>
    </row>
    <row r="1556" spans="1:21" ht="13.15" customHeight="1">
      <c r="B1556" s="748" t="s">
        <v>1760</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1761</v>
      </c>
      <c r="G1557" s="748">
        <f>'Part IV-Uses of Funds'!G61</f>
        <v>0</v>
      </c>
      <c r="J1557" s="748">
        <f>'Part IV-Uses of Funds'!J61</f>
        <v>0</v>
      </c>
      <c r="M1557" s="748">
        <f>'Part IV-Uses of Funds'!M61</f>
        <v>0</v>
      </c>
      <c r="P1557" s="748">
        <f>'Part IV-Uses of Funds'!P61</f>
        <v>0</v>
      </c>
      <c r="S1557" s="748">
        <f>'Part IV-Uses of Funds'!S61</f>
        <v>0</v>
      </c>
    </row>
    <row r="1558" spans="1:21" ht="13.15" customHeight="1">
      <c r="B1558" s="748" t="s">
        <v>1762</v>
      </c>
      <c r="G1558" s="748">
        <f>'Part IV-Uses of Funds'!G62</f>
        <v>0</v>
      </c>
      <c r="J1558" s="748">
        <f>'Part IV-Uses of Funds'!J62</f>
        <v>0</v>
      </c>
      <c r="M1558" s="748">
        <f>'Part IV-Uses of Funds'!M62</f>
        <v>0</v>
      </c>
      <c r="P1558" s="748">
        <f>'Part IV-Uses of Funds'!P62</f>
        <v>0</v>
      </c>
      <c r="S1558" s="748">
        <f>'Part IV-Uses of Funds'!S62</f>
        <v>0</v>
      </c>
    </row>
    <row r="1559" spans="1:21" ht="13.15" customHeight="1">
      <c r="B1559" s="748" t="s">
        <v>1763</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0</v>
      </c>
      <c r="J1560" s="748">
        <f>'Part IV-Uses of Funds'!J64</f>
        <v>0</v>
      </c>
      <c r="M1560" s="748">
        <f>'Part IV-Uses of Funds'!M64</f>
        <v>0</v>
      </c>
      <c r="P1560" s="748">
        <f>'Part IV-Uses of Funds'!P64</f>
        <v>0</v>
      </c>
      <c r="S1560" s="748">
        <f>'Part IV-Uses of Funds'!S64</f>
        <v>0</v>
      </c>
    </row>
    <row r="1561" spans="1:21" ht="13.15" customHeight="1">
      <c r="B1561" s="748" t="s">
        <v>708</v>
      </c>
      <c r="G1561" s="748">
        <f>'Part IV-Uses of Funds'!G65</f>
        <v>160000</v>
      </c>
      <c r="J1561" s="748">
        <f>'Part IV-Uses of Funds'!J65</f>
        <v>0</v>
      </c>
      <c r="M1561" s="748">
        <f>'Part IV-Uses of Funds'!M65</f>
        <v>0</v>
      </c>
      <c r="P1561" s="748">
        <f>'Part IV-Uses of Funds'!P65</f>
        <v>80000</v>
      </c>
      <c r="S1561" s="748">
        <f>'Part IV-Uses of Funds'!S65</f>
        <v>0</v>
      </c>
    </row>
    <row r="1562" spans="1:21" ht="13.15" customHeight="1">
      <c r="B1562" s="748" t="s">
        <v>3139</v>
      </c>
      <c r="G1562" s="748">
        <f>'Part IV-Uses of Funds'!G66</f>
        <v>10000</v>
      </c>
      <c r="J1562" s="748">
        <f>'Part IV-Uses of Funds'!J66</f>
        <v>0</v>
      </c>
      <c r="M1562" s="748">
        <f>'Part IV-Uses of Funds'!M66</f>
        <v>0</v>
      </c>
      <c r="P1562" s="748">
        <f>'Part IV-Uses of Funds'!P66</f>
        <v>10000</v>
      </c>
      <c r="S1562" s="748">
        <f>'Part IV-Uses of Funds'!S66</f>
        <v>0</v>
      </c>
    </row>
    <row r="1563" spans="1:21" ht="13.15" customHeight="1">
      <c r="A1563" s="748" t="str">
        <f>IF(AND(G1563&gt;0,OR(C1563="",C1563="&lt;Enter detailed description here; use Comments section if needed&gt;")),"X","")</f>
        <v/>
      </c>
      <c r="B1563" s="748" t="s">
        <v>1229</v>
      </c>
      <c r="C1563" s="748" t="str">
        <f>'Part IV-Uses of Funds'!C67</f>
        <v xml:space="preserve">Historic Rehab Consultant </v>
      </c>
      <c r="G1563" s="748">
        <f>'Part IV-Uses of Funds'!G67</f>
        <v>50000</v>
      </c>
      <c r="J1563" s="748">
        <f>'Part IV-Uses of Funds'!J67</f>
        <v>0</v>
      </c>
      <c r="M1563" s="748">
        <f>'Part IV-Uses of Funds'!M67</f>
        <v>0</v>
      </c>
      <c r="P1563" s="748">
        <f>'Part IV-Uses of Funds'!P67</f>
        <v>50000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745000</v>
      </c>
      <c r="J1564" s="748">
        <f>SUM(J1554:K1563)</f>
        <v>0</v>
      </c>
      <c r="M1564" s="748">
        <f>SUM(M1554:N1563)</f>
        <v>0</v>
      </c>
      <c r="P1564" s="748">
        <f>SUM(P1554:Q1563)</f>
        <v>665000</v>
      </c>
      <c r="S1564" s="748">
        <f>SUM(S1554:T1563)</f>
        <v>0</v>
      </c>
    </row>
    <row r="1565" spans="1:21" ht="13.15" customHeight="1">
      <c r="B1565" s="748" t="s">
        <v>1952</v>
      </c>
      <c r="O1565" s="748" t="str">
        <f>B1565</f>
        <v>LOCAL GOVERNMENT FEES</v>
      </c>
    </row>
    <row r="1566" spans="1:21" ht="13.15" customHeight="1">
      <c r="B1566" s="748" t="s">
        <v>1953</v>
      </c>
      <c r="G1566" s="748">
        <f>'Part IV-Uses of Funds'!G70</f>
        <v>50142</v>
      </c>
      <c r="J1566" s="748">
        <f>'Part IV-Uses of Funds'!J70</f>
        <v>0</v>
      </c>
      <c r="M1566" s="748">
        <f>'Part IV-Uses of Funds'!M70</f>
        <v>0</v>
      </c>
      <c r="P1566" s="748">
        <f>'Part IV-Uses of Funds'!P70</f>
        <v>50142</v>
      </c>
      <c r="S1566" s="748">
        <f>'Part IV-Uses of Funds'!S70</f>
        <v>0</v>
      </c>
    </row>
    <row r="1567" spans="1:21" ht="13.15"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50142</v>
      </c>
      <c r="J1570" s="748">
        <f>SUM(J1566:K1569)</f>
        <v>0</v>
      </c>
      <c r="M1570" s="748">
        <f>SUM(M1566:N1569)</f>
        <v>0</v>
      </c>
      <c r="P1570" s="748">
        <f>SUM(P1566:Q1569)</f>
        <v>50142</v>
      </c>
      <c r="S1570" s="748">
        <f>SUM(S1566:T1569)</f>
        <v>0</v>
      </c>
    </row>
    <row r="1571" spans="1:21" ht="13.15" customHeight="1">
      <c r="B1571" s="748" t="s">
        <v>1092</v>
      </c>
      <c r="O1571" s="748" t="str">
        <f>B1571</f>
        <v>PERMANENT FINANCING FEES</v>
      </c>
    </row>
    <row r="1572" spans="1:21" ht="13.15" customHeight="1">
      <c r="B1572" s="748" t="s">
        <v>1957</v>
      </c>
      <c r="G1572" s="748">
        <f>'Part IV-Uses of Funds'!G76</f>
        <v>0</v>
      </c>
      <c r="S1572" s="748">
        <f>'Part IV-Uses of Funds'!S76</f>
        <v>0</v>
      </c>
    </row>
    <row r="1573" spans="1:21" ht="13.15" customHeight="1">
      <c r="B1573" s="748" t="s">
        <v>1958</v>
      </c>
      <c r="G1573" s="748">
        <f>'Part IV-Uses of Funds'!G77</f>
        <v>0</v>
      </c>
      <c r="S1573" s="748">
        <f>'Part IV-Uses of Funds'!S77</f>
        <v>0</v>
      </c>
    </row>
    <row r="1574" spans="1:21" ht="13.15" customHeight="1">
      <c r="B1574" s="748" t="s">
        <v>1959</v>
      </c>
      <c r="G1574" s="748">
        <f>'Part IV-Uses of Funds'!G78</f>
        <v>0</v>
      </c>
      <c r="J1574" s="748">
        <f>'Part IV-Uses of Funds'!J78</f>
        <v>0</v>
      </c>
      <c r="M1574" s="748">
        <f>'Part IV-Uses of Funds'!M78</f>
        <v>0</v>
      </c>
      <c r="P1574" s="748">
        <f>'Part IV-Uses of Funds'!P78</f>
        <v>0</v>
      </c>
      <c r="S1574" s="748">
        <f>'Part IV-Uses of Funds'!S78</f>
        <v>0</v>
      </c>
    </row>
    <row r="1575" spans="1:21" ht="13.15" customHeight="1">
      <c r="B1575" s="748" t="s">
        <v>1960</v>
      </c>
      <c r="G1575" s="748">
        <f>'Part IV-Uses of Funds'!G79</f>
        <v>0</v>
      </c>
      <c r="J1575" s="748">
        <f>'Part IV-Uses of Funds'!J79</f>
        <v>0</v>
      </c>
      <c r="M1575" s="748">
        <f>'Part IV-Uses of Funds'!M79</f>
        <v>0</v>
      </c>
      <c r="P1575" s="748">
        <f>'Part IV-Uses of Funds'!P79</f>
        <v>0</v>
      </c>
      <c r="S1575" s="748">
        <f>'Part IV-Uses of Funds'!S79</f>
        <v>0</v>
      </c>
    </row>
    <row r="1576" spans="1:21" ht="13.15"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1229</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0</v>
      </c>
      <c r="J1579" s="748">
        <f>SUM(J1574:K1578)</f>
        <v>0</v>
      </c>
      <c r="M1579" s="748">
        <f>SUM(M1574:N1578)</f>
        <v>0</v>
      </c>
      <c r="P1579" s="748">
        <f>SUM(P1574:Q1578)</f>
        <v>0</v>
      </c>
      <c r="S1579" s="748">
        <f>SUM(S1572:T1578)</f>
        <v>0</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15"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4000</v>
      </c>
      <c r="S1586" s="748">
        <f>'Part IV-Uses of Funds'!S90</f>
        <v>0</v>
      </c>
    </row>
    <row r="1587" spans="1:21" ht="12.6" customHeight="1">
      <c r="B1587" s="748" t="s">
        <v>2746</v>
      </c>
      <c r="G1587" s="748">
        <f>'Part IV-Uses of Funds'!G91</f>
        <v>7500</v>
      </c>
      <c r="S1587" s="748">
        <f>'Part IV-Uses of Funds'!S91</f>
        <v>0</v>
      </c>
    </row>
    <row r="1588" spans="1:21" ht="12.6" customHeight="1">
      <c r="B1588" s="748" t="s">
        <v>810</v>
      </c>
      <c r="E1588" s="748">
        <f>'DCA Underwriting Assumptions'!$Q$41*$J$165</f>
        <v>0</v>
      </c>
      <c r="G1588" s="748">
        <f>'Part IV-Uses of Funds'!G92</f>
        <v>96250</v>
      </c>
      <c r="S1588" s="748">
        <f>'Part IV-Uses of Funds'!S92</f>
        <v>0</v>
      </c>
    </row>
    <row r="1589" spans="1:21" ht="12.6" customHeight="1">
      <c r="B1589" s="748" t="s">
        <v>1243</v>
      </c>
      <c r="E1589" s="748">
        <f>'Part VI-Revenues &amp; Expenses'!$M$63*'DCA Underwriting Assumptions'!$Q$44</f>
        <v>140700</v>
      </c>
      <c r="G1589" s="748">
        <f>'Part IV-Uses of Funds'!G93</f>
        <v>140700</v>
      </c>
      <c r="S1589" s="748">
        <f>'Part IV-Uses of Funds'!S93</f>
        <v>0</v>
      </c>
    </row>
    <row r="1590" spans="1:21" ht="12.6" customHeight="1">
      <c r="B1590" s="748" t="s">
        <v>714</v>
      </c>
      <c r="G1590" s="748">
        <f>'Part IV-Uses of Funds'!G94</f>
        <v>0</v>
      </c>
      <c r="S1590" s="748">
        <f>'Part IV-Uses of Funds'!S94</f>
        <v>0</v>
      </c>
    </row>
    <row r="1591" spans="1:21" ht="12.6" customHeight="1">
      <c r="B1591" s="748" t="s">
        <v>3551</v>
      </c>
      <c r="G1591" s="748">
        <f>'Part IV-Uses of Funds'!G95</f>
        <v>0</v>
      </c>
      <c r="S1591" s="748">
        <f>'Part IV-Uses of Funds'!S95</f>
        <v>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248450</v>
      </c>
      <c r="S1594" s="748">
        <f>SUM(S1585:T1593)</f>
        <v>0</v>
      </c>
    </row>
    <row r="1595" spans="1:21" ht="13.15" customHeight="1">
      <c r="B1595" s="748" t="s">
        <v>3438</v>
      </c>
      <c r="O1595" s="748" t="str">
        <f>B1595</f>
        <v>EQUITY COSTS</v>
      </c>
    </row>
    <row r="1596" spans="1:21" ht="12.6" customHeight="1">
      <c r="B1596" s="748" t="s">
        <v>370</v>
      </c>
      <c r="G1596" s="748">
        <f>'Part IV-Uses of Funds'!G100</f>
        <v>0</v>
      </c>
      <c r="S1596" s="748">
        <f>'Part IV-Uses of Funds'!S100</f>
        <v>0</v>
      </c>
    </row>
    <row r="1597" spans="1:21" ht="12.6" customHeight="1">
      <c r="B1597" s="748" t="s">
        <v>372</v>
      </c>
      <c r="G1597" s="748">
        <f>'Part IV-Uses of Funds'!G101</f>
        <v>0</v>
      </c>
      <c r="S1597" s="748">
        <f>'Part IV-Uses of Funds'!S101</f>
        <v>0</v>
      </c>
    </row>
    <row r="1598" spans="1:21" ht="12.6" customHeight="1">
      <c r="B1598" s="748" t="s">
        <v>3613</v>
      </c>
      <c r="G1598" s="748">
        <f>'Part IV-Uses of Funds'!G102</f>
        <v>0</v>
      </c>
      <c r="S1598" s="748">
        <f>'Part IV-Uses of Funds'!S102</f>
        <v>0</v>
      </c>
    </row>
    <row r="1599" spans="1:21" ht="12.6" customHeight="1">
      <c r="A1599" s="748" t="str">
        <f>IF(AND(G1599&gt;0,OR(C1599="",C1599="&lt;Enter detailed description here; use Comments section if needed&gt;")),"X","")</f>
        <v/>
      </c>
      <c r="B1599" s="748" t="s">
        <v>1229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0</v>
      </c>
      <c r="S1600" s="748">
        <f>SUM(S1596:T1599)</f>
        <v>0</v>
      </c>
    </row>
    <row r="1601" spans="1:21" ht="13.15" customHeight="1">
      <c r="B1601" s="748" t="s">
        <v>373</v>
      </c>
      <c r="O1601" s="748" t="str">
        <f>B1601</f>
        <v>DEVELOPER'S FEE</v>
      </c>
    </row>
    <row r="1602" spans="1:21" ht="12.6" customHeight="1">
      <c r="B1602" s="748" t="s">
        <v>2913</v>
      </c>
      <c r="F1602" s="748" t="e">
        <f>G1602/$G$109</f>
        <v>#DIV/0!</v>
      </c>
      <c r="G1602" s="748">
        <f>'Part IV-Uses of Funds'!G106</f>
        <v>540000</v>
      </c>
      <c r="J1602" s="748">
        <f>'Part IV-Uses of Funds'!J106</f>
        <v>0</v>
      </c>
      <c r="M1602" s="748">
        <f>'Part IV-Uses of Funds'!M106</f>
        <v>145500</v>
      </c>
      <c r="P1602" s="748">
        <f>'Part IV-Uses of Funds'!P106</f>
        <v>394500</v>
      </c>
      <c r="S1602" s="748">
        <f>'Part IV-Uses of Funds'!S106</f>
        <v>0</v>
      </c>
    </row>
    <row r="1603" spans="1:21" ht="12.6" customHeight="1">
      <c r="B1603" s="748" t="s">
        <v>2914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2906</v>
      </c>
      <c r="F1604" s="748" t="e">
        <f>G1604/$G$109</f>
        <v>#DIV/0!</v>
      </c>
      <c r="G1604" s="748">
        <f>'Part IV-Uses of Funds'!G108</f>
        <v>1260000</v>
      </c>
      <c r="J1604" s="748">
        <f>'Part IV-Uses of Funds'!J108</f>
        <v>0</v>
      </c>
      <c r="M1604" s="748">
        <f>'Part IV-Uses of Funds'!M108</f>
        <v>339500</v>
      </c>
      <c r="P1604" s="748">
        <f>'Part IV-Uses of Funds'!P108</f>
        <v>920500</v>
      </c>
      <c r="S1604" s="748">
        <f>'Part IV-Uses of Funds'!S108</f>
        <v>0</v>
      </c>
    </row>
    <row r="1605" spans="1:21" ht="12.6" customHeight="1">
      <c r="C1605" s="748" t="str">
        <f>IF(G1605&lt;='DCA Underwriting Assumptions'!$Q$46,"","Developer Fee exceeds DCA Program Maximum !!!")</f>
        <v/>
      </c>
      <c r="F1605" s="748" t="s">
        <v>249</v>
      </c>
      <c r="G1605" s="748">
        <f>SUM(G1602:H1604)</f>
        <v>1800000</v>
      </c>
      <c r="J1605" s="748">
        <f>SUM(J1602:K1604)</f>
        <v>0</v>
      </c>
      <c r="M1605" s="748">
        <f>SUM(M1602:N1604)</f>
        <v>485000</v>
      </c>
      <c r="P1605" s="748">
        <f>SUM(P1602:Q1604)</f>
        <v>1315000</v>
      </c>
      <c r="S1605" s="748">
        <f>SUM(S1602:T1604)</f>
        <v>0</v>
      </c>
    </row>
    <row r="1606" spans="1:21" ht="13.15" customHeight="1">
      <c r="B1606" s="748" t="s">
        <v>2009</v>
      </c>
      <c r="O1606" s="748" t="str">
        <f>B1606</f>
        <v>START-UP AND RESERVES</v>
      </c>
    </row>
    <row r="1607" spans="1:21" ht="12.6" customHeight="1">
      <c r="B1607" s="748" t="s">
        <v>324</v>
      </c>
      <c r="G1607" s="748">
        <f>'Part IV-Uses of Funds'!G111</f>
        <v>0</v>
      </c>
      <c r="S1607" s="748">
        <f>'Part IV-Uses of Funds'!S111</f>
        <v>0</v>
      </c>
    </row>
    <row r="1608" spans="1:21" ht="12.6" customHeight="1">
      <c r="B1608" s="748" t="s">
        <v>2286</v>
      </c>
      <c r="G1608" s="748">
        <f>'Part IV-Uses of Funds'!G112</f>
        <v>307785</v>
      </c>
      <c r="S1608" s="748">
        <f>'Part IV-Uses of Funds'!S112</f>
        <v>0</v>
      </c>
    </row>
    <row r="1609" spans="1:21" ht="12.6" customHeight="1">
      <c r="B1609" s="748" t="s">
        <v>1027</v>
      </c>
      <c r="G1609" s="748">
        <f>'Part IV-Uses of Funds'!G113</f>
        <v>902283</v>
      </c>
      <c r="S1609" s="748">
        <f>'Part IV-Uses of Funds'!S113</f>
        <v>0</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248.75621890547265</v>
      </c>
      <c r="G1611" s="748">
        <f>'Part IV-Uses of Funds'!G115</f>
        <v>50000</v>
      </c>
      <c r="J1611" s="748">
        <f>'Part IV-Uses of Funds'!J115</f>
        <v>0</v>
      </c>
      <c r="M1611" s="748">
        <f>'Part IV-Uses of Funds'!M115</f>
        <v>0</v>
      </c>
      <c r="P1611" s="748">
        <f>'Part IV-Uses of Funds'!P115</f>
        <v>50000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 xml:space="preserve">Pre-paid Tax and Insurance Reserve </v>
      </c>
      <c r="G1612" s="748">
        <f>'Part IV-Uses of Funds'!G116</f>
        <v>235145</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1495213</v>
      </c>
      <c r="J1613" s="748">
        <f>SUM(J1611:K1612)</f>
        <v>0</v>
      </c>
      <c r="M1613" s="748">
        <f>SUM(M1611:N1612)</f>
        <v>0</v>
      </c>
      <c r="P1613" s="748">
        <f>SUM(P1611:Q1612)</f>
        <v>50000</v>
      </c>
      <c r="S1613" s="748">
        <f>SUM(S1607:T1612)</f>
        <v>0</v>
      </c>
    </row>
    <row r="1614" spans="1:21" ht="13.15" customHeight="1">
      <c r="B1614" s="748" t="s">
        <v>942</v>
      </c>
      <c r="O1614" s="748" t="str">
        <f>B1614</f>
        <v>OTHER COSTS</v>
      </c>
    </row>
    <row r="1615" spans="1:21" ht="12.6" customHeight="1">
      <c r="B1615" s="748" t="s">
        <v>943</v>
      </c>
      <c r="G1615" s="748">
        <f>'Part IV-Uses of Funds'!G119</f>
        <v>261050</v>
      </c>
      <c r="J1615" s="748">
        <f>'Part IV-Uses of Funds'!J119</f>
        <v>0</v>
      </c>
      <c r="M1615" s="748">
        <f>'Part IV-Uses of Funds'!M119</f>
        <v>0</v>
      </c>
      <c r="P1615" s="748">
        <f>'Part IV-Uses of Funds'!P119</f>
        <v>261050</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City of Atlanta Loan Repayment</v>
      </c>
      <c r="G1616" s="748">
        <f>'Part IV-Uses of Funds'!G120</f>
        <v>190750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451800</v>
      </c>
      <c r="J1617" s="748">
        <f>SUM(J1615:K1616)</f>
        <v>0</v>
      </c>
      <c r="M1617" s="748">
        <f>SUM(M1615:N1616)</f>
        <v>0</v>
      </c>
      <c r="P1617" s="748">
        <f>SUM(P1615:Q1616)</f>
        <v>261050</v>
      </c>
      <c r="S1617" s="748">
        <f>SUM(S1615:T1616)</f>
        <v>0</v>
      </c>
    </row>
    <row r="1618" spans="1:19" ht="3" customHeight="1"/>
    <row r="1619" spans="1:19" ht="13.9" customHeight="1">
      <c r="B1619" s="748" t="s">
        <v>374</v>
      </c>
      <c r="G1619" s="748">
        <f>G1513+G1519+G1523+G1528+G1532+G1538+G1552+G1564+G1570+G1579+G1594+G1600+G1605+G1613+G1617</f>
        <v>27666470</v>
      </c>
      <c r="J1619" s="748">
        <f>J1513+J1519+J1523+J1528+J1532+J1538+J1552+J1564+J1570+J1579+J1594+J1600+J1605+J1613+J1617</f>
        <v>0</v>
      </c>
      <c r="M1619" s="748">
        <f>M1513+M1519+M1523+M1528+M1532+M1538+M1552+M1564+M1570+M1579+M1594+M1600+M1605+M1613+M1617</f>
        <v>8236434</v>
      </c>
      <c r="P1619" s="748">
        <f>P1513+P1519+P1523+P1528+P1532+P1538+P1552+P1564+P1570+P1579+P1594+P1600+P1605+P1613+P1617</f>
        <v>14594118</v>
      </c>
      <c r="S1619" s="748">
        <f>S1513+S1519+S1523+S1528+S1532+S1538+S1552+S1564+S1570+S1579+S1594+S1600+S1605+S1613+S1617</f>
        <v>0</v>
      </c>
    </row>
    <row r="1620" spans="1:19" ht="3" customHeight="1"/>
    <row r="1621" spans="1:19" ht="13.9" customHeight="1">
      <c r="B1621" s="748" t="s">
        <v>3894</v>
      </c>
      <c r="D1621" s="748">
        <f>IF(AND($T$155 = "Yes", 'Part IX A-Scoring Criteria'!$O$176 &gt; 0),'DCA Underwriting Assumptions'!$R$13, IF(AND('Part IV-Uses of Funds'!$T$156="Yes", 'Part IX A-Scoring Criteria'!$O$74&gt;0),'DCA Underwriting Assumptions'!$R$12, 'DCA Underwriting Assumptions'!$R$11))</f>
        <v>24728529</v>
      </c>
      <c r="F1621" s="748" t="s">
        <v>1037</v>
      </c>
      <c r="G1621" s="748">
        <f>G1619/'Part VI-Revenues &amp; Expenses'!$M$63</f>
        <v>137644.12935323382</v>
      </c>
      <c r="J1621" s="748" t="s">
        <v>1038</v>
      </c>
      <c r="M1621" s="748">
        <f>G1619/'Part VI-Revenues &amp; Expenses'!$M$98</f>
        <v>257.30985286732016</v>
      </c>
    </row>
    <row r="1622" spans="1:19" ht="3" customHeight="1"/>
    <row r="1623" spans="1:19" ht="3.6" customHeight="1"/>
    <row r="1624" spans="1:19" ht="25.9" customHeight="1">
      <c r="A1624" s="748" t="s">
        <v>1228</v>
      </c>
      <c r="B1624" s="748" t="s">
        <v>2144</v>
      </c>
      <c r="J1624" s="748" t="s">
        <v>359</v>
      </c>
      <c r="M1624" s="748" t="s">
        <v>114</v>
      </c>
      <c r="P1624" s="748" t="s">
        <v>360</v>
      </c>
    </row>
    <row r="1625" spans="1:19" ht="15" customHeight="1">
      <c r="B1625" s="748" t="s">
        <v>3134</v>
      </c>
    </row>
    <row r="1626" spans="1:19" ht="6" customHeight="1"/>
    <row r="1627" spans="1:19" ht="13.9" customHeight="1">
      <c r="B1627" s="748" t="s">
        <v>185</v>
      </c>
      <c r="J1627" s="748">
        <f>'Part IV-Uses of Funds'!J131</f>
        <v>0</v>
      </c>
      <c r="P1627" s="748">
        <f>'Part IV-Uses of Funds'!P131</f>
        <v>0</v>
      </c>
    </row>
    <row r="1628" spans="1:19" ht="13.9" customHeight="1">
      <c r="B1628" s="748" t="s">
        <v>3254</v>
      </c>
      <c r="J1628" s="748">
        <f>'Part IV-Uses of Funds'!J132</f>
        <v>0</v>
      </c>
      <c r="P1628" s="748">
        <f>'Part IV-Uses of Funds'!P132</f>
        <v>0</v>
      </c>
    </row>
    <row r="1629" spans="1:19" ht="13.9" customHeight="1">
      <c r="B1629" s="748" t="s">
        <v>2916</v>
      </c>
      <c r="J1629" s="748">
        <f>'Part IV-Uses of Funds'!J133</f>
        <v>0</v>
      </c>
      <c r="P1629" s="748">
        <f>'Part IV-Uses of Funds'!P133</f>
        <v>0</v>
      </c>
    </row>
    <row r="1630" spans="1:19" ht="13.9" customHeight="1">
      <c r="B1630" s="748" t="s">
        <v>2917</v>
      </c>
      <c r="J1630" s="748">
        <f>'Part IV-Uses of Funds'!J134</f>
        <v>0</v>
      </c>
      <c r="P1630" s="748">
        <f>'Part IV-Uses of Funds'!P134</f>
        <v>0</v>
      </c>
    </row>
    <row r="1631" spans="1:19" ht="13.9" customHeight="1">
      <c r="B1631" s="748" t="s">
        <v>329</v>
      </c>
      <c r="J1631" s="748">
        <f>'Part IV-Uses of Funds'!J135</f>
        <v>0</v>
      </c>
      <c r="P1631" s="748">
        <f>'Part IV-Uses of Funds'!P135</f>
        <v>3101420</v>
      </c>
    </row>
    <row r="1632" spans="1:19" ht="13.9"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 customHeight="1">
      <c r="B1633" s="748" t="s">
        <v>2918</v>
      </c>
      <c r="J1633" s="748">
        <f>SUM(J1627:K1632)</f>
        <v>0</v>
      </c>
      <c r="P1633" s="748">
        <f>SUM(P1627:Q1632)</f>
        <v>3101420</v>
      </c>
    </row>
    <row r="1634" spans="1:19" ht="3" customHeight="1"/>
    <row r="1635" spans="1:19" ht="15" customHeight="1">
      <c r="B1635" s="748" t="s">
        <v>3486</v>
      </c>
    </row>
    <row r="1636" spans="1:19" ht="13.9" customHeight="1">
      <c r="B1636" s="748" t="s">
        <v>2820</v>
      </c>
      <c r="J1636" s="748">
        <f>J1619</f>
        <v>0</v>
      </c>
      <c r="M1636" s="748">
        <f>M1619</f>
        <v>8236434</v>
      </c>
      <c r="P1636" s="748">
        <f>P1619</f>
        <v>14594118</v>
      </c>
    </row>
    <row r="1637" spans="1:19" ht="13.9" customHeight="1">
      <c r="B1637" s="748" t="s">
        <v>3342</v>
      </c>
      <c r="J1637" s="748">
        <f>J1633</f>
        <v>0</v>
      </c>
      <c r="P1637" s="748">
        <f>P1633</f>
        <v>3101420</v>
      </c>
    </row>
    <row r="1638" spans="1:19" ht="13.9" customHeight="1">
      <c r="B1638" s="748" t="s">
        <v>3343</v>
      </c>
      <c r="J1638" s="748">
        <f>J1636-J1637</f>
        <v>0</v>
      </c>
      <c r="M1638" s="748">
        <f>M1636</f>
        <v>8236434</v>
      </c>
      <c r="P1638" s="748">
        <f>P1636-P1637</f>
        <v>11492698</v>
      </c>
    </row>
    <row r="1639" spans="1:19" ht="13.9" customHeight="1">
      <c r="B1639" s="748" t="s">
        <v>2227</v>
      </c>
      <c r="G1639" s="748" t="s">
        <v>2733</v>
      </c>
      <c r="H1639" s="748" t="str">
        <f>'Part IV-Uses of Funds'!H143</f>
        <v>State Boost</v>
      </c>
      <c r="J1639" s="748">
        <f>'Part IV-Uses of Funds'!J143</f>
        <v>0</v>
      </c>
      <c r="P1639" s="748">
        <f>'Part IV-Uses of Funds'!P143</f>
        <v>1.3</v>
      </c>
    </row>
    <row r="1640" spans="1:19" ht="13.9" customHeight="1">
      <c r="B1640" s="748" t="s">
        <v>3148</v>
      </c>
      <c r="J1640" s="748">
        <f>J1638*J1639</f>
        <v>0</v>
      </c>
      <c r="M1640" s="748">
        <f>+M1638</f>
        <v>8236434</v>
      </c>
      <c r="P1640" s="748">
        <f>P1638*P1639</f>
        <v>14940507.4</v>
      </c>
    </row>
    <row r="1641" spans="1:19" ht="13.9"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3135</v>
      </c>
      <c r="J1642" s="748">
        <f>J1640*J1641</f>
        <v>0</v>
      </c>
      <c r="M1642" s="748">
        <f>M1640*M1641</f>
        <v>8236434</v>
      </c>
      <c r="P1642" s="748">
        <f>P1640*P1641</f>
        <v>14940507.4</v>
      </c>
    </row>
    <row r="1643" spans="1:19" ht="13.9" customHeight="1">
      <c r="B1643" s="748" t="s">
        <v>3136</v>
      </c>
      <c r="J1643" s="748">
        <f>'Part IV-Uses of Funds'!J147</f>
        <v>0</v>
      </c>
      <c r="M1643" s="748">
        <f>'Part IV-Uses of Funds'!M147</f>
        <v>3.3099999999999997E-2</v>
      </c>
      <c r="P1643" s="748">
        <f>'Part IV-Uses of Funds'!P147</f>
        <v>0.09</v>
      </c>
    </row>
    <row r="1644" spans="1:19" ht="13.9" customHeight="1">
      <c r="B1644" s="748" t="s">
        <v>3839</v>
      </c>
      <c r="J1644" s="748">
        <f>J1642*J1643</f>
        <v>0</v>
      </c>
      <c r="M1644" s="748">
        <f>M1642*M1643</f>
        <v>272625.96539999999</v>
      </c>
      <c r="P1644" s="748">
        <f>P1642*P1643</f>
        <v>1344645.666</v>
      </c>
    </row>
    <row r="1645" spans="1:19" ht="13.9" customHeight="1">
      <c r="B1645" s="748" t="s">
        <v>2142</v>
      </c>
      <c r="J1645" s="748">
        <f>J1644+M1644+P1644</f>
        <v>1617271.6313999998</v>
      </c>
    </row>
    <row r="1646" spans="1:19" ht="6" customHeight="1"/>
    <row r="1647" spans="1:19" ht="15" customHeight="1">
      <c r="A1647" s="748" t="s">
        <v>1230</v>
      </c>
      <c r="B1647" s="748" t="s">
        <v>2145</v>
      </c>
      <c r="J1647" s="748" t="s">
        <v>345</v>
      </c>
      <c r="M1647" s="748" t="str">
        <f>IF(J1649&gt;D1621,"TDC exceeds PUCL!","")</f>
        <v>TDC exceeds PUCL!</v>
      </c>
      <c r="S1647" s="748" t="s">
        <v>2649</v>
      </c>
    </row>
    <row r="1648" spans="1:19" ht="15" customHeight="1">
      <c r="B1648" s="748" t="s">
        <v>231</v>
      </c>
      <c r="J1648" s="748">
        <f>MIN(G1619,D1621)</f>
        <v>24728529</v>
      </c>
      <c r="M1648" s="748" t="s">
        <v>3643</v>
      </c>
    </row>
    <row r="1649" spans="1:20" ht="13.9" customHeight="1">
      <c r="B1649" s="748" t="s">
        <v>3602</v>
      </c>
      <c r="J1649" s="748">
        <f>'Part IV-Uses of Funds'!J153</f>
        <v>27666470</v>
      </c>
    </row>
    <row r="1650" spans="1:20" ht="13.9" customHeight="1">
      <c r="B1650" s="748" t="s">
        <v>341</v>
      </c>
      <c r="J1650" s="749">
        <f>'Part III A-Sources of Funds'!$H$49-'Part III A-Sources of Funds'!$H$37-'Part III A-Sources of Funds'!$H$40-'Part III A-Sources of Funds'!$H$41</f>
        <v>12110094</v>
      </c>
      <c r="T1650" s="748" t="s">
        <v>344</v>
      </c>
    </row>
    <row r="1651" spans="1:20" ht="13.9" customHeight="1">
      <c r="B1651" s="748" t="s">
        <v>3355</v>
      </c>
      <c r="J1651" s="748">
        <f>+J1649-J1650</f>
        <v>15556376</v>
      </c>
      <c r="M1651" s="748" t="s">
        <v>342</v>
      </c>
      <c r="O1651" s="748" t="s">
        <v>2651</v>
      </c>
      <c r="S1651" s="748" t="s">
        <v>2650</v>
      </c>
      <c r="T1651" s="748" t="str">
        <f>'Part IV-Uses of Funds'!T155</f>
        <v>Yes</v>
      </c>
    </row>
    <row r="1652" spans="1:20" ht="13.9" customHeight="1">
      <c r="B1652" s="748" t="s">
        <v>1985</v>
      </c>
      <c r="J1652" s="748" t="str">
        <f>"/ 10"</f>
        <v>/ 10</v>
      </c>
      <c r="M1652" s="748">
        <f>'Part IV-Uses of Funds'!M156</f>
        <v>0</v>
      </c>
      <c r="O1652" s="748">
        <f>'Part IV-Uses of Funds'!O156</f>
        <v>0</v>
      </c>
      <c r="S1652" s="748" t="s">
        <v>343</v>
      </c>
      <c r="T1652" s="748">
        <f>'Part IV-Uses of Funds'!T156</f>
        <v>0</v>
      </c>
    </row>
    <row r="1653" spans="1:20" ht="13.9" customHeight="1">
      <c r="B1653" s="748" t="s">
        <v>1986</v>
      </c>
      <c r="J1653" s="748">
        <f>J1651/10</f>
        <v>1555637.6</v>
      </c>
      <c r="N1653" s="748" t="s">
        <v>1987</v>
      </c>
      <c r="Q1653" s="748" t="s">
        <v>2829</v>
      </c>
    </row>
    <row r="1654" spans="1:20" ht="13.9" customHeight="1">
      <c r="B1654" s="748" t="s">
        <v>4121</v>
      </c>
      <c r="J1654" s="748">
        <f>N1654+Q1654</f>
        <v>1.1000000000000001</v>
      </c>
      <c r="M1654" s="748" t="s">
        <v>1988</v>
      </c>
      <c r="N1654" s="748">
        <f>'Part IV-Uses of Funds'!N158</f>
        <v>0.85</v>
      </c>
      <c r="P1654" s="748" t="s">
        <v>944</v>
      </c>
      <c r="Q1654" s="748">
        <f>'Part IV-Uses of Funds'!Q158</f>
        <v>0.25</v>
      </c>
    </row>
    <row r="1655" spans="1:20" ht="13.9" customHeight="1">
      <c r="B1655" s="748" t="s">
        <v>2143</v>
      </c>
      <c r="J1655" s="748">
        <f>IF(J1654=0,"",J1653/J1654)</f>
        <v>1414216</v>
      </c>
    </row>
    <row r="1656" spans="1:20" ht="9" customHeight="1"/>
    <row r="1657" spans="1:20" ht="16.149999999999999" customHeight="1">
      <c r="B1657" s="748" t="s">
        <v>3603</v>
      </c>
      <c r="J1657" s="748">
        <f>+MIN(J1645,J1655,'DCA Underwriting Assumptions'!$R$6)</f>
        <v>950000</v>
      </c>
    </row>
    <row r="1658" spans="1:20" ht="9.6" customHeight="1"/>
    <row r="1659" spans="1:20" ht="16.149999999999999" customHeight="1">
      <c r="B1659" s="748" t="s">
        <v>3604</v>
      </c>
      <c r="J1659" s="748">
        <f>'Part IV-Uses of Funds'!J163</f>
        <v>1375000</v>
      </c>
      <c r="M1659" s="748" t="str">
        <f>IF(J1659&gt;J1657,"ALLOCATION CANNOT EXCEED MAXIMUM - REVISE ALLOCATION!","")</f>
        <v>ALLOCATION CANNOT EXCEED MAXIMUM - REVISE ALLOCATION!</v>
      </c>
    </row>
    <row r="1660" spans="1:20" ht="9.6" customHeight="1"/>
    <row r="1661" spans="1:20" ht="16.149999999999999" customHeight="1">
      <c r="A1661" s="748" t="s">
        <v>2822</v>
      </c>
      <c r="B1661" s="748" t="s">
        <v>3605</v>
      </c>
      <c r="J1661" s="748">
        <f>+MIN(J1657,J1659)</f>
        <v>950000</v>
      </c>
    </row>
    <row r="1662" spans="1:20" ht="3" customHeight="1"/>
    <row r="1663" spans="1:20" ht="6" customHeight="1"/>
    <row r="1664" spans="1:20" ht="12" customHeight="1">
      <c r="A1664" s="748" t="s">
        <v>2824</v>
      </c>
      <c r="B1664" s="748" t="s">
        <v>878</v>
      </c>
      <c r="K1664" s="748" t="s">
        <v>821</v>
      </c>
      <c r="L1664" s="748" t="s">
        <v>89</v>
      </c>
    </row>
    <row r="1665" spans="1:12" ht="107.45" customHeight="1">
      <c r="A1665" s="748" t="str">
        <f>'Part IV-Uses of Funds'!A169</f>
        <v>Development Budget Project Amenities:  As part of our renovation of Briarcliff Summit we will be adding the following amenities to the property: Wellness Center, Fitness Center, Arts/Crafts Center, Sitting Areas where possible on each floor and a Computer Center.  The location of the these amenities within the building can be found in the project drawings included under Tab 13.  We have included $50,000 in FF/E to outfit the above facilities.  A breakdown of this budget is include under Tab 39-B.</v>
      </c>
      <c r="K1665" s="748">
        <f>'Part IV-Uses of Funds'!K169</f>
        <v>0</v>
      </c>
    </row>
    <row r="1666" spans="1:12" ht="107.45" customHeight="1">
      <c r="A1666" s="748" t="str">
        <f>'Part IV-Uses of Funds'!A170</f>
        <v xml:space="preserve">Development Budget - Construction Loan Fee: Below is a breakdown of the various fees which we have included in the line item:                                                                                                                                                                                 HUD 221(d)(4) LOAN FEES:                                                                                                                                                                                                                                      A.) Grandbridge Financing Fees (1.50% of Loan AMT):  $107,172                                                                                                                      B.) Grandbridge Engagement Fee:  $2,500                                                                                                                                                                C.) Grandbridge Lender Fee:  $10,000                                                                                                                                                                     D.) MIP: (90 bps of Loan AMT):  $64,303                                                                                                                                                                                                         E.) Ginnie Mae Placement Fee:  $1,700                                                                                                                                                                    F.) FHA HUD Inspection Fee:  $58,038                                                                                                                                                                                                  G.) FHA Application Fee (30 bps of Loan AMT):  $21,434                                                                                                                                                                                                                                                                                                                                                         ATLANTA DEVELOPMENT AUTHORITY - HOUSING OPPORTUNITY BOND PROGRAM FEES:                                                                 A.) Application Fee:  $1,500                                                                                                                                                                                                                          B.) Commitment Fee: $1,500                                                                                                                                                                                      C.) Initial Asset Management Fee: $4,000                                                                                                                                                           OTHER:                                                                                                                                                                                                                                 A.) Georgia Intangible Mortgage Tax (30 bps of Loan AMT):  $21,434                                                                                                            NOTE:  Permanent Financing Fees do not apply to the project as a result of our utilization of the HUD 221(d)(4) Loan program.  All project financing fees will be paid during the construction period.                                                                                                                                                                                                                                                                                                                                                    </v>
      </c>
      <c r="K1666" s="748">
        <f>'Part IV-Uses of Funds'!K170</f>
        <v>0</v>
      </c>
    </row>
    <row r="1667" spans="1:12" ht="107.45" customHeight="1">
      <c r="A1667" s="748" t="str">
        <f>'Part IV-Uses of Funds'!A171</f>
        <v>Development Budget - Professional Services: Real Estate Attorney:  A breadown of the legal costs associated with this transaction are as follows:                                                                                                                                                                                            A.)  Borrower's General Counsel:  $90,000                                                                                                                                                            B.)  Borrower's Special Counsel:  $50,000                                                                                                                                                              C.)  Borrower's Local Counsel:  $20,000  (The costs for preparation of the legal opinion is carried within this number)</v>
      </c>
      <c r="K1667" s="748">
        <f>'Part IV-Uses of Funds'!K171</f>
        <v>0</v>
      </c>
    </row>
    <row r="1668" spans="1:12" ht="107.45" customHeight="1">
      <c r="A1668" s="748" t="str">
        <f>'Part IV-Uses of Funds'!A172</f>
        <v>Out Total Development Cost equals $27,666,470 which exceeds the DCA project maximum of $27,201,391.  Briarcliff is an existing property and has been listed on the national historic register since 1982.  The property suffers from significant deferred maintenance and is in desperate need of substantial renovation in order to bring it up to current housing standards and to create modern and safe housing for its residents.  The signficant renovation needs resulted in a renovation budget of $57,500 per unit.  The additional project costs will be funded through non-DCA resources such as the Atlanta Housing Authority Loan and the Historic Tax Credit Equity.  Given the extrodinary renovation needs of the property, coupled with the additional project costs associated with a historic project,  the total development cost listed above is what we believe is required in order to make the transaction feasible and to ensure we are able to deliver a high quality, modernized property, to the market place that will be able to serve the needs of low-income elderly and disabled individuals for many years to come.  Additional information about the signficant need of the property and its importance to the community is detailed in the Superior Project Concept Narrative found under Tab 39-B.</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2011-015 Briarcliff Summit Apartments , ,  County</v>
      </c>
    </row>
    <row r="1675" spans="1:12">
      <c r="F1675" s="748" t="s">
        <v>805</v>
      </c>
      <c r="I1675" s="748" t="str">
        <f>VLOOKUP('Part I-Project Information'!$J$25,'Part I-Project Information'!$C$183:$D$342,2)</f>
        <v>Middle</v>
      </c>
    </row>
    <row r="1677" spans="1:12">
      <c r="A1677" s="748" t="s">
        <v>949</v>
      </c>
      <c r="B1677" s="748" t="s">
        <v>3350</v>
      </c>
      <c r="F1677" s="748" t="s">
        <v>3804</v>
      </c>
      <c r="I1677" s="748" t="str">
        <f>'Part V-Utility Allowances'!I5</f>
        <v>Atlanta Housing Authority</v>
      </c>
    </row>
    <row r="1678" spans="1:12">
      <c r="F1678" s="748" t="s">
        <v>971</v>
      </c>
      <c r="I1678" s="748">
        <f>'Part V-Utility Allowances'!I6</f>
        <v>40360</v>
      </c>
      <c r="K1678" s="748" t="s">
        <v>832</v>
      </c>
      <c r="L1678" s="748" t="str">
        <f>'Part V-Utility Allowances'!L6</f>
        <v>MF</v>
      </c>
    </row>
    <row r="1680" spans="1:12">
      <c r="F1680" s="748" t="s">
        <v>941</v>
      </c>
      <c r="I1680" s="748" t="s">
        <v>258</v>
      </c>
    </row>
    <row r="1681" spans="1:13">
      <c r="B1681" s="748" t="s">
        <v>1379</v>
      </c>
      <c r="D1681" s="748" t="s">
        <v>2360</v>
      </c>
      <c r="F1681" s="748" t="s">
        <v>977</v>
      </c>
      <c r="G1681" s="748" t="s">
        <v>2902</v>
      </c>
      <c r="I1681" s="748">
        <v>0</v>
      </c>
      <c r="J1681" s="748">
        <v>1</v>
      </c>
      <c r="K1681" s="748">
        <v>2</v>
      </c>
      <c r="L1681" s="748">
        <v>3</v>
      </c>
      <c r="M1681" s="748">
        <v>4</v>
      </c>
    </row>
    <row r="1682" spans="1:13">
      <c r="B1682" s="748" t="s">
        <v>2904</v>
      </c>
      <c r="D1682" s="748" t="str">
        <f>'Part V-Utility Allowances'!D10</f>
        <v>Natural Gas</v>
      </c>
      <c r="F1682" s="748">
        <f>'Part V-Utility Allowances'!F10</f>
        <v>0</v>
      </c>
      <c r="G1682" s="748" t="str">
        <f>'Part V-Utility Allowances'!G10</f>
        <v>X</v>
      </c>
      <c r="I1682" s="748">
        <f>'Part V-Utility Allowances'!I10</f>
        <v>0</v>
      </c>
      <c r="J1682" s="748">
        <f>'Part V-Utility Allowances'!J10</f>
        <v>0</v>
      </c>
      <c r="K1682" s="748">
        <f>'Part V-Utility Allowances'!K10</f>
        <v>0</v>
      </c>
      <c r="L1682" s="748">
        <f>'Part V-Utility Allowances'!L10</f>
        <v>0</v>
      </c>
      <c r="M1682" s="748">
        <f>'Part V-Utility Allowances'!M10</f>
        <v>0</v>
      </c>
    </row>
    <row r="1683" spans="1:13">
      <c r="B1683" s="748" t="s">
        <v>686</v>
      </c>
      <c r="D1683" s="748" t="s">
        <v>2356</v>
      </c>
      <c r="F1683" s="748" t="str">
        <f>'Part V-Utility Allowances'!F11</f>
        <v>X</v>
      </c>
      <c r="G1683" s="748">
        <f>'Part V-Utility Allowances'!G11</f>
        <v>0</v>
      </c>
      <c r="I1683" s="748">
        <f>'Part V-Utility Allowances'!I11</f>
        <v>15</v>
      </c>
      <c r="J1683" s="748">
        <f>'Part V-Utility Allowances'!J11</f>
        <v>15</v>
      </c>
      <c r="K1683" s="748">
        <f>'Part V-Utility Allowances'!K11</f>
        <v>26</v>
      </c>
      <c r="L1683" s="748">
        <f>'Part V-Utility Allowances'!L11</f>
        <v>0</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8</v>
      </c>
      <c r="J1684" s="748">
        <f>'Part V-Utility Allowances'!J12</f>
        <v>8</v>
      </c>
      <c r="K1684" s="748">
        <f>'Part V-Utility Allowances'!K12</f>
        <v>10</v>
      </c>
      <c r="L1684" s="748">
        <f>'Part V-Utility Allowances'!L12</f>
        <v>0</v>
      </c>
      <c r="M1684" s="748">
        <f>'Part V-Utility Allowances'!M12</f>
        <v>0</v>
      </c>
    </row>
    <row r="1685" spans="1:13">
      <c r="B1685" s="748" t="s">
        <v>2358</v>
      </c>
      <c r="D1685" s="748" t="str">
        <f>'Part V-Utility Allowances'!D13</f>
        <v>Natural Gas</v>
      </c>
      <c r="F1685" s="748">
        <f>'Part V-Utility Allowances'!F13</f>
        <v>0</v>
      </c>
      <c r="G1685" s="748" t="str">
        <f>'Part V-Utility Allowances'!G13</f>
        <v>X</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2359</v>
      </c>
      <c r="D1686" s="748" t="s">
        <v>2356</v>
      </c>
      <c r="F1686" s="748" t="str">
        <f>'Part V-Utility Allowances'!F14</f>
        <v>X</v>
      </c>
      <c r="G1686" s="748">
        <f>'Part V-Utility Allowances'!G14</f>
        <v>0</v>
      </c>
      <c r="I1686" s="748">
        <f>'Part V-Utility Allowances'!I14</f>
        <v>33</v>
      </c>
      <c r="J1686" s="748">
        <f>'Part V-Utility Allowances'!J14</f>
        <v>33</v>
      </c>
      <c r="K1686" s="748" t="str">
        <f>'Part V-Utility Allowances'!K14</f>
        <v>p</v>
      </c>
      <c r="L1686" s="748">
        <f>'Part V-Utility Allowances'!L14</f>
        <v>0</v>
      </c>
      <c r="M1686" s="748">
        <f>'Part V-Utility Allowances'!M14</f>
        <v>0</v>
      </c>
    </row>
    <row r="1687" spans="1:13">
      <c r="B1687" s="748" t="s">
        <v>2071</v>
      </c>
      <c r="D1687" s="748" t="s">
        <v>3349</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2903</v>
      </c>
      <c r="F1688" s="748">
        <f>'Part V-Utility Allowances'!F16</f>
        <v>0</v>
      </c>
      <c r="G1688" s="748">
        <f>'Part V-Utility Allowances'!G16</f>
        <v>0</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56</v>
      </c>
      <c r="J1689" s="748">
        <f>SUM(J1682:J1688)</f>
        <v>56</v>
      </c>
      <c r="K1689" s="748">
        <f>SUM(K1682:K1688)</f>
        <v>36</v>
      </c>
      <c r="L1689" s="748">
        <f>SUM(L1682:L1688)</f>
        <v>0</v>
      </c>
      <c r="M1689" s="748">
        <f>SUM(M1682:M1688)</f>
        <v>0</v>
      </c>
    </row>
    <row r="1691" spans="1:13">
      <c r="A1691" s="748" t="s">
        <v>1228</v>
      </c>
      <c r="B1691" s="748" t="s">
        <v>3351</v>
      </c>
      <c r="F1691" s="748" t="s">
        <v>3804</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2839</v>
      </c>
    </row>
    <row r="1707" spans="2:13">
      <c r="B1707" s="748" t="s">
        <v>878</v>
      </c>
    </row>
    <row r="1708" spans="2:13">
      <c r="B1708" s="748" t="str">
        <f>'Part V-Utility Allowances'!B36</f>
        <v xml:space="preserve">Our renovation plan includes installing indivdual electric meters for each unit and installing water-source heat pumps to serve as HVAC in the units.  </v>
      </c>
    </row>
    <row r="1709" spans="2:13">
      <c r="B1709" s="748" t="str">
        <f>'Part V-Utility Allowances'!B37</f>
        <v>After renovation, tenants will be responsible for paying unit electric costs.  The utility conversion is further detailed in Tab 7.</v>
      </c>
    </row>
    <row r="1711" spans="2:13">
      <c r="B1711" s="748" t="s">
        <v>2896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2011-015 Briarcliff Summit Apartments , ,  County</v>
      </c>
    </row>
    <row r="1717" spans="1:219" ht="12" customHeight="1"/>
    <row r="1718" spans="1:219" ht="12.6" customHeight="1">
      <c r="A1718" s="748" t="s">
        <v>949</v>
      </c>
      <c r="B1718" s="748" t="s">
        <v>3570</v>
      </c>
      <c r="D1718" s="748" t="s">
        <v>328</v>
      </c>
      <c r="N1718" s="748" t="s">
        <v>885</v>
      </c>
      <c r="O1718" s="748" t="str">
        <f>'Part I-Project Information'!$J$26</f>
        <v>Atlanta-Sandy Springs-Marietta</v>
      </c>
      <c r="EY1718" s="748" t="s">
        <v>715</v>
      </c>
      <c r="EZ1718" s="748" t="s">
        <v>3685</v>
      </c>
      <c r="FA1718" s="748" t="s">
        <v>3686</v>
      </c>
      <c r="FB1718" s="748" t="s">
        <v>3687</v>
      </c>
      <c r="FC1718" s="748" t="s">
        <v>3688</v>
      </c>
      <c r="FI1718" s="748" t="s">
        <v>715</v>
      </c>
      <c r="FJ1718" s="748" t="s">
        <v>3685</v>
      </c>
      <c r="FK1718" s="748" t="s">
        <v>3686</v>
      </c>
      <c r="FL1718" s="748" t="s">
        <v>3687</v>
      </c>
      <c r="FM1718" s="748" t="s">
        <v>3688</v>
      </c>
      <c r="FN1718" s="748" t="s">
        <v>715</v>
      </c>
      <c r="FO1718" s="748" t="s">
        <v>3685</v>
      </c>
      <c r="FP1718" s="748" t="s">
        <v>3686</v>
      </c>
      <c r="FQ1718" s="748" t="s">
        <v>3687</v>
      </c>
      <c r="FR1718" s="748" t="s">
        <v>3688</v>
      </c>
      <c r="FS1718" s="748" t="s">
        <v>715</v>
      </c>
      <c r="FT1718" s="748" t="s">
        <v>3685</v>
      </c>
      <c r="FU1718" s="748" t="s">
        <v>3686</v>
      </c>
      <c r="FV1718" s="748" t="s">
        <v>3687</v>
      </c>
      <c r="FW1718" s="748" t="s">
        <v>3688</v>
      </c>
      <c r="FX1718" s="748" t="s">
        <v>715</v>
      </c>
      <c r="FY1718" s="748" t="s">
        <v>3685</v>
      </c>
      <c r="FZ1718" s="748" t="s">
        <v>3686</v>
      </c>
      <c r="GA1718" s="748" t="s">
        <v>3687</v>
      </c>
      <c r="GB1718" s="748" t="s">
        <v>3688</v>
      </c>
      <c r="GC1718" s="748" t="s">
        <v>715</v>
      </c>
      <c r="GD1718" s="748" t="s">
        <v>3685</v>
      </c>
      <c r="GE1718" s="748" t="s">
        <v>3686</v>
      </c>
      <c r="GF1718" s="748" t="s">
        <v>3687</v>
      </c>
      <c r="GG1718" s="748" t="s">
        <v>3688</v>
      </c>
      <c r="GH1718" s="748" t="s">
        <v>715</v>
      </c>
      <c r="GI1718" s="748" t="s">
        <v>3685</v>
      </c>
      <c r="GJ1718" s="748" t="s">
        <v>3686</v>
      </c>
      <c r="GK1718" s="748" t="s">
        <v>3687</v>
      </c>
      <c r="GL1718" s="748" t="s">
        <v>3688</v>
      </c>
    </row>
    <row r="1719" spans="1:219" ht="12.6" customHeight="1">
      <c r="T1719" s="748" t="s">
        <v>1512</v>
      </c>
      <c r="U1719" s="748" t="s">
        <v>1246</v>
      </c>
      <c r="V1719" s="748" t="s">
        <v>1247</v>
      </c>
      <c r="W1719" s="748" t="s">
        <v>1248</v>
      </c>
      <c r="X1719" s="748" t="s">
        <v>1249</v>
      </c>
      <c r="Y1719" s="748" t="s">
        <v>1513</v>
      </c>
      <c r="Z1719" s="748" t="s">
        <v>3451</v>
      </c>
      <c r="AA1719" s="748" t="s">
        <v>3452</v>
      </c>
      <c r="AB1719" s="748" t="s">
        <v>3453</v>
      </c>
      <c r="AC1719" s="748" t="s">
        <v>3454</v>
      </c>
      <c r="AD1719" s="748" t="s">
        <v>1514</v>
      </c>
      <c r="AE1719" s="748" t="s">
        <v>3455</v>
      </c>
      <c r="AF1719" s="748" t="s">
        <v>3456</v>
      </c>
      <c r="AG1719" s="748" t="s">
        <v>3457</v>
      </c>
      <c r="AH1719" s="748" t="s">
        <v>3458</v>
      </c>
      <c r="AI1719" s="748" t="s">
        <v>152</v>
      </c>
      <c r="AJ1719" s="748" t="s">
        <v>3459</v>
      </c>
      <c r="AK1719" s="748" t="s">
        <v>3460</v>
      </c>
      <c r="AL1719" s="748" t="s">
        <v>3461</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3675</v>
      </c>
      <c r="BS1719" s="748" t="s">
        <v>3676</v>
      </c>
      <c r="BT1719" s="748" t="s">
        <v>3677</v>
      </c>
      <c r="BU1719" s="748" t="s">
        <v>3678</v>
      </c>
      <c r="BV1719" s="748" t="s">
        <v>3679</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3674</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3320</v>
      </c>
      <c r="EK1719" s="748" t="s">
        <v>3321</v>
      </c>
      <c r="EL1719" s="748" t="s">
        <v>3322</v>
      </c>
      <c r="EM1719" s="748" t="s">
        <v>2212</v>
      </c>
      <c r="EN1719" s="748" t="s">
        <v>2213</v>
      </c>
      <c r="EO1719" s="748" t="s">
        <v>29</v>
      </c>
      <c r="EP1719" s="748" t="s">
        <v>30</v>
      </c>
      <c r="EQ1719" s="748" t="s">
        <v>31</v>
      </c>
      <c r="ER1719" s="748" t="s">
        <v>32</v>
      </c>
      <c r="ES1719" s="748" t="s">
        <v>33</v>
      </c>
      <c r="GM1719" s="748" t="s">
        <v>2527</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2897</v>
      </c>
      <c r="G1720" s="748">
        <f>'Part VI-Revenues &amp; Expenses'!G5</f>
        <v>0</v>
      </c>
      <c r="P1720" s="748" t="s">
        <v>1657</v>
      </c>
    </row>
    <row r="1721" spans="1:219" ht="13.15" customHeight="1">
      <c r="B1721" s="748" t="s">
        <v>2838</v>
      </c>
      <c r="G1721" s="748" t="str">
        <f>'Part VI-Revenues &amp; Expenses'!G6</f>
        <v>Yes</v>
      </c>
      <c r="J1721" s="748" t="s">
        <v>3644</v>
      </c>
      <c r="P1721" s="748">
        <f>VLOOKUP('Part I-Project Information'!$J$26,'DCA Underwriting Assumptions'!$C$77:$D$187,2)</f>
        <v>71800</v>
      </c>
    </row>
    <row r="1722" spans="1:219" ht="13.9" customHeight="1">
      <c r="A1722" s="748" t="str">
        <f>IF(A1763&gt;0,"Finish!","")</f>
        <v/>
      </c>
      <c r="J1722" s="748" t="s">
        <v>3645</v>
      </c>
    </row>
    <row r="1723" spans="1:219" ht="13.9" customHeight="1">
      <c r="B1723" s="748" t="s">
        <v>2211</v>
      </c>
      <c r="C1723" s="748" t="s">
        <v>228</v>
      </c>
      <c r="D1723" s="748" t="s">
        <v>838</v>
      </c>
      <c r="E1723" s="748" t="s">
        <v>2209</v>
      </c>
      <c r="F1723" s="748" t="s">
        <v>2209</v>
      </c>
      <c r="G1723" s="748" t="s">
        <v>3616</v>
      </c>
      <c r="H1723" s="748" t="s">
        <v>3614</v>
      </c>
      <c r="I1723" s="748" t="s">
        <v>1379</v>
      </c>
      <c r="J1723" s="748" t="s">
        <v>4122</v>
      </c>
      <c r="K1723" s="748" t="s">
        <v>186</v>
      </c>
      <c r="M1723" s="748" t="s">
        <v>3571</v>
      </c>
      <c r="N1723" s="748" t="s">
        <v>824</v>
      </c>
      <c r="O1723" s="748" t="s">
        <v>487</v>
      </c>
      <c r="P1723" s="748" t="s">
        <v>1664</v>
      </c>
      <c r="ET1723" s="748" t="s">
        <v>2186</v>
      </c>
      <c r="EU1723" s="748" t="s">
        <v>3685</v>
      </c>
      <c r="EV1723" s="748" t="s">
        <v>3686</v>
      </c>
      <c r="EW1723" s="748" t="s">
        <v>3687</v>
      </c>
      <c r="EX1723" s="748" t="s">
        <v>3688</v>
      </c>
      <c r="EY1723" s="748" t="s">
        <v>3775</v>
      </c>
      <c r="EZ1723" s="748" t="s">
        <v>3775</v>
      </c>
      <c r="FA1723" s="748" t="s">
        <v>3775</v>
      </c>
      <c r="FB1723" s="748" t="s">
        <v>3775</v>
      </c>
      <c r="FC1723" s="748" t="s">
        <v>3775</v>
      </c>
      <c r="FD1723" s="748" t="s">
        <v>715</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 customHeight="1">
      <c r="B1724" s="748" t="s">
        <v>1995</v>
      </c>
      <c r="C1724" s="748" t="s">
        <v>227</v>
      </c>
      <c r="D1724" s="748" t="s">
        <v>229</v>
      </c>
      <c r="E1724" s="748" t="s">
        <v>2210</v>
      </c>
      <c r="F1724" s="748" t="s">
        <v>1962</v>
      </c>
      <c r="G1724" s="748" t="s">
        <v>1963</v>
      </c>
      <c r="H1724" s="748" t="s">
        <v>3615</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15" customHeight="1">
      <c r="A1725" s="748" t="str">
        <f>IF(AND(E1725&gt;0,OR(B1725="",C1725="",D1725="",F1725="",G1725="", H1725="",M1725="",N1725="",O1725="")),1,"")</f>
        <v/>
      </c>
      <c r="B1725" s="748" t="str">
        <f>'Part VI-Revenues &amp; Expenses'!B10</f>
        <v>50% AMI</v>
      </c>
      <c r="C1725" s="748" t="str">
        <f>'Part VI-Revenues &amp; Expenses'!C10</f>
        <v>Efficiency</v>
      </c>
      <c r="D1725" s="748">
        <f>'Part VI-Revenues &amp; Expenses'!D10</f>
        <v>1</v>
      </c>
      <c r="E1725" s="748">
        <f>'Part VI-Revenues &amp; Expenses'!E10</f>
        <v>7</v>
      </c>
      <c r="F1725" s="748">
        <f>'Part VI-Revenues &amp; Expenses'!F10</f>
        <v>390</v>
      </c>
      <c r="G1725" s="748">
        <f>'Part VI-Revenues &amp; Expenses'!G10</f>
        <v>598</v>
      </c>
      <c r="H1725" s="748">
        <f>'Part VI-Revenues &amp; Expenses'!H10</f>
        <v>906</v>
      </c>
      <c r="I1725" s="748">
        <f>'Part VI-Revenues &amp; Expenses'!I10</f>
        <v>56</v>
      </c>
      <c r="J1725" s="748" t="str">
        <f>'Part VI-Revenues &amp; Expenses'!J10</f>
        <v>HUD</v>
      </c>
      <c r="K1725" s="748">
        <f>MAX(0,H1725-I1725)</f>
        <v>850</v>
      </c>
      <c r="L1725" s="748">
        <f t="shared" ref="L1725:L1762" si="99">MAX(0,E1725*K1725)</f>
        <v>5950</v>
      </c>
      <c r="M1725" s="748" t="str">
        <f>'Part VI-Revenues &amp; Expenses'!M10</f>
        <v>No</v>
      </c>
      <c r="N1725" s="748" t="str">
        <f>'Part VI-Revenues &amp; Expenses'!N10</f>
        <v>3+ Story</v>
      </c>
      <c r="O1725" s="748" t="str">
        <f>'Part VI-Revenues &amp; Expenses'!O10</f>
        <v>Acquisition/Rehab</v>
      </c>
      <c r="P1725" s="748">
        <f>'Part VI-Revenues &amp; Expenses'!P10</f>
        <v>36240</v>
      </c>
      <c r="Q1725" s="748" t="e">
        <f>'Part VI-Revenues &amp; Expenses'!Q10</f>
        <v>#N/A</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f t="shared" ref="Y1725:Y1762" si="105">IF(AND(C1725="Efficiency",B1725="50% AMI",NOT(M1725="Common")),E1725,"")</f>
        <v>7</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f>IF(OR(AND($C1725="Efficiency",NOT($J1725=""),NOT($J1725="PHA Oper Sub"),NOT($J1725=0),$B1725="50% AMI",NOT($M1725="Common")),AND($C1725="Efficiency",NOT($J1725=""),NOT($J1725=0),NOT($J1725="PHA Oper Sub"),$B1725="HOME 50% AMI",NOT($M1725="Common"))),$E1725,"")</f>
        <v>7</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f t="shared" ref="CB1725:CB1762" si="130">IF(OR(AND(C1725="Efficiency",B1725="50% AMI",NOT(M1725="Common")),AND(C1725="Efficiency",B1725="HOME 50% AMI",NOT(M1725="Common"))),E1725*F1725,"")</f>
        <v>2730</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f t="shared" ref="CQ1725:CQ1762" si="145">IF(AND(C1725="Efficiency",NOT(J1725=""),NOT($J1725=0),NOT(M1725="Common")),E1725*F1725,"")</f>
        <v>2730</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f t="shared" ref="DP1725:DP1762" si="170">IF(AND($C1725="Efficiency", $O1725="Acquisition/Rehab",NOT($B1725="Unrestricted"),NOT($B1725="NSP 120% AMI"),NOT($B1725="N/A-CS"),NOT($M1725="Common")),$E1725,"")</f>
        <v>7</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f t="shared" ref="ET1725:ET1762" si="200">IF(AND($C1725="Efficiency", NOT(OR($N1725="SF Detached",$N1725="Mfd Home",$N1725="Duplex",$N1725="Townhome"))),$E1725,"")</f>
        <v>7</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f t="shared" ref="GH1725:GH1762" si="240">IF(AND($C1725="Efficiency", $N1725="3+ Story"),$E1725,"")</f>
        <v>7</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t="str">
        <f>'Part VI-Revenues &amp; Expenses'!C11</f>
        <v>Efficiency</v>
      </c>
      <c r="D1726" s="748">
        <f>'Part VI-Revenues &amp; Expenses'!D11</f>
        <v>1</v>
      </c>
      <c r="E1726" s="748">
        <f>'Part VI-Revenues &amp; Expenses'!E11</f>
        <v>7</v>
      </c>
      <c r="F1726" s="748">
        <f>'Part VI-Revenues &amp; Expenses'!F11</f>
        <v>436</v>
      </c>
      <c r="G1726" s="748">
        <f>'Part VI-Revenues &amp; Expenses'!G11</f>
        <v>598</v>
      </c>
      <c r="H1726" s="748">
        <f>'Part VI-Revenues &amp; Expenses'!H11</f>
        <v>906</v>
      </c>
      <c r="I1726" s="748">
        <f>'Part VI-Revenues &amp; Expenses'!I11</f>
        <v>56</v>
      </c>
      <c r="J1726" s="748" t="str">
        <f>'Part VI-Revenues &amp; Expenses'!J11</f>
        <v>HUD</v>
      </c>
      <c r="K1726" s="748">
        <f t="shared" ref="K1726:K1742" si="271">MAX(0,H1726-I1726)</f>
        <v>850</v>
      </c>
      <c r="L1726" s="748">
        <f t="shared" si="99"/>
        <v>5950</v>
      </c>
      <c r="M1726" s="748" t="str">
        <f>'Part VI-Revenues &amp; Expenses'!M11</f>
        <v>No</v>
      </c>
      <c r="N1726" s="748" t="str">
        <f>'Part VI-Revenues &amp; Expenses'!N11</f>
        <v>3+ Story</v>
      </c>
      <c r="O1726" s="748" t="str">
        <f>'Part VI-Revenues &amp; Expenses'!O11</f>
        <v>Acquisition/Rehab</v>
      </c>
      <c r="P1726" s="748">
        <f>'Part VI-Revenues &amp; Expenses'!P11</f>
        <v>36240</v>
      </c>
      <c r="Q1726" s="748" t="e">
        <f>'Part VI-Revenues &amp; Expenses'!Q11</f>
        <v>#N/A</v>
      </c>
      <c r="R1726" s="748">
        <f>'Part VI-Revenues &amp; Expenses'!R11</f>
        <v>0</v>
      </c>
      <c r="T1726" s="748" t="str">
        <f t="shared" si="100"/>
        <v/>
      </c>
      <c r="U1726" s="748" t="str">
        <f t="shared" si="101"/>
        <v/>
      </c>
      <c r="V1726" s="748" t="str">
        <f t="shared" si="102"/>
        <v/>
      </c>
      <c r="W1726" s="748" t="str">
        <f t="shared" si="103"/>
        <v/>
      </c>
      <c r="X1726" s="748" t="str">
        <f t="shared" si="104"/>
        <v/>
      </c>
      <c r="Y1726" s="748">
        <f t="shared" si="105"/>
        <v>7</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f t="shared" ref="AS1726:AS1762" si="277">IF(OR(AND($C1726="Efficiency",NOT($J1726=""),NOT($J1726="PHA Oper Sub"),NOT($J1726=0),$B1726="50% AMI",NOT($M1726="Common")),AND($C1726="Efficiency",NOT($J1726=""),NOT($J1726=0),NOT($J1726="PHA Oper Sub"),$B1726="HOME 50% AMI",NOT($M1726="Common"))),$E1726,"")</f>
        <v>7</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f t="shared" si="130"/>
        <v>3052</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f t="shared" si="145"/>
        <v>3052</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f t="shared" si="170"/>
        <v>7</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f t="shared" si="200"/>
        <v>7</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f t="shared" si="240"/>
        <v>7</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1</v>
      </c>
      <c r="D1727" s="748">
        <f>'Part VI-Revenues &amp; Expenses'!D12</f>
        <v>1</v>
      </c>
      <c r="E1727" s="748">
        <f>'Part VI-Revenues &amp; Expenses'!E12</f>
        <v>7</v>
      </c>
      <c r="F1727" s="748">
        <f>'Part VI-Revenues &amp; Expenses'!F12</f>
        <v>599</v>
      </c>
      <c r="G1727" s="748">
        <f>'Part VI-Revenues &amp; Expenses'!G12</f>
        <v>641</v>
      </c>
      <c r="H1727" s="748">
        <f>'Part VI-Revenues &amp; Expenses'!H12</f>
        <v>1031</v>
      </c>
      <c r="I1727" s="748">
        <f>'Part VI-Revenues &amp; Expenses'!I12</f>
        <v>56</v>
      </c>
      <c r="J1727" s="748" t="str">
        <f>'Part VI-Revenues &amp; Expenses'!J12</f>
        <v>HUD</v>
      </c>
      <c r="K1727" s="748">
        <f t="shared" si="271"/>
        <v>975</v>
      </c>
      <c r="L1727" s="748">
        <f t="shared" si="99"/>
        <v>6825</v>
      </c>
      <c r="M1727" s="748" t="str">
        <f>'Part VI-Revenues &amp; Expenses'!M12</f>
        <v>No</v>
      </c>
      <c r="N1727" s="748" t="str">
        <f>'Part VI-Revenues &amp; Expenses'!N12</f>
        <v>3+ Story</v>
      </c>
      <c r="O1727" s="748" t="str">
        <f>'Part VI-Revenues &amp; Expenses'!O12</f>
        <v>Acquisition/Rehab</v>
      </c>
      <c r="P1727" s="748">
        <f>'Part VI-Revenues &amp; Expenses'!P12</f>
        <v>41240</v>
      </c>
      <c r="Q1727" s="748">
        <f>'Part VI-Revenues &amp; Expenses'!Q12</f>
        <v>0.76583101207056636</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f t="shared" si="106"/>
        <v>7</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f t="shared" si="278"/>
        <v>7</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f t="shared" si="131"/>
        <v>4193</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f t="shared" si="146"/>
        <v>4193</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f t="shared" si="171"/>
        <v>7</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f t="shared" si="201"/>
        <v>7</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f t="shared" si="241"/>
        <v>7</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50% AMI</v>
      </c>
      <c r="C1728" s="748">
        <f>'Part VI-Revenues &amp; Expenses'!C13</f>
        <v>1</v>
      </c>
      <c r="D1728" s="748">
        <f>'Part VI-Revenues &amp; Expenses'!D13</f>
        <v>1</v>
      </c>
      <c r="E1728" s="748">
        <f>'Part VI-Revenues &amp; Expenses'!E13</f>
        <v>6</v>
      </c>
      <c r="F1728" s="748">
        <f>'Part VI-Revenues &amp; Expenses'!F13</f>
        <v>695</v>
      </c>
      <c r="G1728" s="748">
        <f>'Part VI-Revenues &amp; Expenses'!G13</f>
        <v>641</v>
      </c>
      <c r="H1728" s="748">
        <f>'Part VI-Revenues &amp; Expenses'!H13</f>
        <v>1031</v>
      </c>
      <c r="I1728" s="748">
        <f>'Part VI-Revenues &amp; Expenses'!I13</f>
        <v>56</v>
      </c>
      <c r="J1728" s="748" t="str">
        <f>'Part VI-Revenues &amp; Expenses'!J13</f>
        <v>HUD</v>
      </c>
      <c r="K1728" s="748">
        <f t="shared" si="271"/>
        <v>975</v>
      </c>
      <c r="L1728" s="748">
        <f t="shared" si="99"/>
        <v>5850</v>
      </c>
      <c r="M1728" s="748" t="str">
        <f>'Part VI-Revenues &amp; Expenses'!M13</f>
        <v>No</v>
      </c>
      <c r="N1728" s="748" t="str">
        <f>'Part VI-Revenues &amp; Expenses'!N13</f>
        <v>3+ Story</v>
      </c>
      <c r="O1728" s="748" t="str">
        <f>'Part VI-Revenues &amp; Expenses'!O13</f>
        <v>Acquisition/Rehab</v>
      </c>
      <c r="P1728" s="748">
        <f>'Part VI-Revenues &amp; Expenses'!P13</f>
        <v>41240</v>
      </c>
      <c r="Q1728" s="748">
        <f>'Part VI-Revenues &amp; Expenses'!Q13</f>
        <v>0.76583101207056636</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f t="shared" si="106"/>
        <v>6</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f t="shared" si="278"/>
        <v>6</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f t="shared" si="131"/>
        <v>4170</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f t="shared" si="146"/>
        <v>4170</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f t="shared" si="171"/>
        <v>6</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6</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f t="shared" si="241"/>
        <v>6</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50% AMI</v>
      </c>
      <c r="C1729" s="748">
        <f>'Part VI-Revenues &amp; Expenses'!C14</f>
        <v>2</v>
      </c>
      <c r="D1729" s="748">
        <f>'Part VI-Revenues &amp; Expenses'!D14</f>
        <v>1</v>
      </c>
      <c r="E1729" s="748">
        <f>'Part VI-Revenues &amp; Expenses'!E14</f>
        <v>4</v>
      </c>
      <c r="F1729" s="748">
        <f>'Part VI-Revenues &amp; Expenses'!F14</f>
        <v>780</v>
      </c>
      <c r="G1729" s="748">
        <f>'Part VI-Revenues &amp; Expenses'!G14</f>
        <v>768</v>
      </c>
      <c r="H1729" s="748">
        <f>'Part VI-Revenues &amp; Expenses'!H14</f>
        <v>1152</v>
      </c>
      <c r="I1729" s="748">
        <f>'Part VI-Revenues &amp; Expenses'!I14</f>
        <v>77</v>
      </c>
      <c r="J1729" s="748" t="str">
        <f>'Part VI-Revenues &amp; Expenses'!J14</f>
        <v>HUD</v>
      </c>
      <c r="K1729" s="748">
        <f t="shared" si="271"/>
        <v>1075</v>
      </c>
      <c r="L1729" s="748">
        <f t="shared" si="99"/>
        <v>4300</v>
      </c>
      <c r="M1729" s="748" t="str">
        <f>'Part VI-Revenues &amp; Expenses'!M14</f>
        <v>No</v>
      </c>
      <c r="N1729" s="748" t="str">
        <f>'Part VI-Revenues &amp; Expenses'!N14</f>
        <v>3+ Story</v>
      </c>
      <c r="O1729" s="748" t="str">
        <f>'Part VI-Revenues &amp; Expenses'!O14</f>
        <v>Acquisition/Rehab</v>
      </c>
      <c r="P1729" s="748">
        <f>'Part VI-Revenues &amp; Expenses'!P14</f>
        <v>46080</v>
      </c>
      <c r="Q1729" s="748">
        <f>'Part VI-Revenues &amp; Expenses'!Q14</f>
        <v>0.71309192200557103</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f t="shared" si="107"/>
        <v>4</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f t="shared" si="279"/>
        <v>4</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f t="shared" si="132"/>
        <v>3120</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f t="shared" si="147"/>
        <v>3120</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f t="shared" si="172"/>
        <v>4</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4</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f t="shared" si="242"/>
        <v>4</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t="str">
        <f>'Part VI-Revenues &amp; Expenses'!C15</f>
        <v>Efficiency</v>
      </c>
      <c r="D1730" s="748">
        <f>'Part VI-Revenues &amp; Expenses'!D15</f>
        <v>1</v>
      </c>
      <c r="E1730" s="748">
        <f>'Part VI-Revenues &amp; Expenses'!E15</f>
        <v>8</v>
      </c>
      <c r="F1730" s="748">
        <f>'Part VI-Revenues &amp; Expenses'!F15</f>
        <v>318</v>
      </c>
      <c r="G1730" s="748">
        <f>'Part VI-Revenues &amp; Expenses'!G15</f>
        <v>718</v>
      </c>
      <c r="H1730" s="748">
        <f>'Part VI-Revenues &amp; Expenses'!H15</f>
        <v>906</v>
      </c>
      <c r="I1730" s="748">
        <f>'Part VI-Revenues &amp; Expenses'!I15</f>
        <v>56</v>
      </c>
      <c r="J1730" s="748" t="str">
        <f>'Part VI-Revenues &amp; Expenses'!J15</f>
        <v>HUD</v>
      </c>
      <c r="K1730" s="748">
        <f t="shared" si="271"/>
        <v>850</v>
      </c>
      <c r="L1730" s="748">
        <f t="shared" si="99"/>
        <v>6800</v>
      </c>
      <c r="M1730" s="748" t="str">
        <f>'Part VI-Revenues &amp; Expenses'!M15</f>
        <v>No</v>
      </c>
      <c r="N1730" s="748" t="str">
        <f>'Part VI-Revenues &amp; Expenses'!N15</f>
        <v>3+ Story</v>
      </c>
      <c r="O1730" s="748" t="str">
        <f>'Part VI-Revenues &amp; Expenses'!O15</f>
        <v>Acquisition/Rehab</v>
      </c>
      <c r="P1730" s="748">
        <f>'Part VI-Revenues &amp; Expenses'!P15</f>
        <v>36240</v>
      </c>
      <c r="Q1730" s="748" t="e">
        <f>'Part VI-Revenues &amp; Expenses'!Q15</f>
        <v>#N/A</v>
      </c>
      <c r="R1730" s="748">
        <f>'Part VI-Revenues &amp; Expenses'!R15</f>
        <v>0</v>
      </c>
      <c r="T1730" s="748">
        <f t="shared" si="100"/>
        <v>8</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f t="shared" si="282"/>
        <v>8</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f t="shared" si="125"/>
        <v>2544</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f t="shared" si="145"/>
        <v>2544</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f t="shared" si="170"/>
        <v>8</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f t="shared" si="200"/>
        <v>8</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f t="shared" si="240"/>
        <v>8</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60% AMI</v>
      </c>
      <c r="C1731" s="748" t="str">
        <f>'Part VI-Revenues &amp; Expenses'!C16</f>
        <v>Efficiency</v>
      </c>
      <c r="D1731" s="748">
        <f>'Part VI-Revenues &amp; Expenses'!D16</f>
        <v>1</v>
      </c>
      <c r="E1731" s="748">
        <f>'Part VI-Revenues &amp; Expenses'!E16</f>
        <v>8</v>
      </c>
      <c r="F1731" s="748">
        <f>'Part VI-Revenues &amp; Expenses'!F16</f>
        <v>346</v>
      </c>
      <c r="G1731" s="748">
        <f>'Part VI-Revenues &amp; Expenses'!G16</f>
        <v>718</v>
      </c>
      <c r="H1731" s="748">
        <f>'Part VI-Revenues &amp; Expenses'!H16</f>
        <v>906</v>
      </c>
      <c r="I1731" s="748">
        <f>'Part VI-Revenues &amp; Expenses'!I16</f>
        <v>56</v>
      </c>
      <c r="J1731" s="748" t="str">
        <f>'Part VI-Revenues &amp; Expenses'!J16</f>
        <v>HUD</v>
      </c>
      <c r="K1731" s="748">
        <f t="shared" si="271"/>
        <v>850</v>
      </c>
      <c r="L1731" s="748">
        <f t="shared" si="99"/>
        <v>6800</v>
      </c>
      <c r="M1731" s="748" t="str">
        <f>'Part VI-Revenues &amp; Expenses'!M16</f>
        <v>No</v>
      </c>
      <c r="N1731" s="748" t="str">
        <f>'Part VI-Revenues &amp; Expenses'!N16</f>
        <v>3+ Story</v>
      </c>
      <c r="O1731" s="748" t="str">
        <f>'Part VI-Revenues &amp; Expenses'!O16</f>
        <v>Acquisition/Rehab</v>
      </c>
      <c r="P1731" s="748">
        <f>'Part VI-Revenues &amp; Expenses'!P16</f>
        <v>36240</v>
      </c>
      <c r="Q1731" s="748" t="e">
        <f>'Part VI-Revenues &amp; Expenses'!Q16</f>
        <v>#N/A</v>
      </c>
      <c r="R1731" s="748">
        <f>'Part VI-Revenues &amp; Expenses'!R16</f>
        <v>0</v>
      </c>
      <c r="T1731" s="748">
        <f t="shared" si="100"/>
        <v>8</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f t="shared" si="282"/>
        <v>8</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f t="shared" si="125"/>
        <v>2768</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f t="shared" si="145"/>
        <v>2768</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f t="shared" si="170"/>
        <v>8</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f t="shared" si="200"/>
        <v>8</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f t="shared" si="240"/>
        <v>8</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t="str">
        <f>'Part VI-Revenues &amp; Expenses'!B17</f>
        <v>60% AMI</v>
      </c>
      <c r="C1732" s="748" t="str">
        <f>'Part VI-Revenues &amp; Expenses'!C17</f>
        <v>Efficiency</v>
      </c>
      <c r="D1732" s="748">
        <f>'Part VI-Revenues &amp; Expenses'!D17</f>
        <v>1</v>
      </c>
      <c r="E1732" s="748">
        <f>'Part VI-Revenues &amp; Expenses'!E17</f>
        <v>8</v>
      </c>
      <c r="F1732" s="748">
        <f>'Part VI-Revenues &amp; Expenses'!F17</f>
        <v>349</v>
      </c>
      <c r="G1732" s="748">
        <f>'Part VI-Revenues &amp; Expenses'!G17</f>
        <v>718</v>
      </c>
      <c r="H1732" s="748">
        <f>'Part VI-Revenues &amp; Expenses'!H17</f>
        <v>906</v>
      </c>
      <c r="I1732" s="748">
        <f>'Part VI-Revenues &amp; Expenses'!I17</f>
        <v>56</v>
      </c>
      <c r="J1732" s="748" t="str">
        <f>'Part VI-Revenues &amp; Expenses'!J17</f>
        <v>HUD</v>
      </c>
      <c r="K1732" s="748">
        <f t="shared" si="271"/>
        <v>850</v>
      </c>
      <c r="L1732" s="748">
        <f t="shared" si="99"/>
        <v>6800</v>
      </c>
      <c r="M1732" s="748" t="str">
        <f>'Part VI-Revenues &amp; Expenses'!M17</f>
        <v>No</v>
      </c>
      <c r="N1732" s="748" t="str">
        <f>'Part VI-Revenues &amp; Expenses'!N17</f>
        <v>3+ Story</v>
      </c>
      <c r="O1732" s="748" t="str">
        <f>'Part VI-Revenues &amp; Expenses'!O17</f>
        <v>Acquisition/Rehab</v>
      </c>
      <c r="P1732" s="748">
        <f>'Part VI-Revenues &amp; Expenses'!P17</f>
        <v>36240</v>
      </c>
      <c r="Q1732" s="748" t="e">
        <f>'Part VI-Revenues &amp; Expenses'!Q17</f>
        <v>#N/A</v>
      </c>
      <c r="R1732" s="748">
        <f>'Part VI-Revenues &amp; Expenses'!R17</f>
        <v>0</v>
      </c>
      <c r="T1732" s="748">
        <f t="shared" si="100"/>
        <v>8</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f t="shared" si="282"/>
        <v>8</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f t="shared" si="125"/>
        <v>2792</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f t="shared" si="145"/>
        <v>2792</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f t="shared" si="170"/>
        <v>8</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f t="shared" si="200"/>
        <v>8</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f t="shared" si="240"/>
        <v>8</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t="str">
        <f>'Part VI-Revenues &amp; Expenses'!B18</f>
        <v>60% AMI</v>
      </c>
      <c r="C1733" s="748" t="str">
        <f>'Part VI-Revenues &amp; Expenses'!C18</f>
        <v>Efficiency</v>
      </c>
      <c r="D1733" s="748">
        <f>'Part VI-Revenues &amp; Expenses'!D18</f>
        <v>1</v>
      </c>
      <c r="E1733" s="748">
        <f>'Part VI-Revenues &amp; Expenses'!E18</f>
        <v>1</v>
      </c>
      <c r="F1733" s="748">
        <f>'Part VI-Revenues &amp; Expenses'!F18</f>
        <v>390</v>
      </c>
      <c r="G1733" s="748">
        <f>'Part VI-Revenues &amp; Expenses'!G18</f>
        <v>718</v>
      </c>
      <c r="H1733" s="748">
        <f>'Part VI-Revenues &amp; Expenses'!H18</f>
        <v>906</v>
      </c>
      <c r="I1733" s="748">
        <f>'Part VI-Revenues &amp; Expenses'!I18</f>
        <v>56</v>
      </c>
      <c r="J1733" s="748" t="str">
        <f>'Part VI-Revenues &amp; Expenses'!J18</f>
        <v>HUD</v>
      </c>
      <c r="K1733" s="748">
        <f t="shared" si="271"/>
        <v>850</v>
      </c>
      <c r="L1733" s="748">
        <f t="shared" si="99"/>
        <v>850</v>
      </c>
      <c r="M1733" s="748" t="str">
        <f>'Part VI-Revenues &amp; Expenses'!M18</f>
        <v>No</v>
      </c>
      <c r="N1733" s="748" t="str">
        <f>'Part VI-Revenues &amp; Expenses'!N18</f>
        <v>3+ Story</v>
      </c>
      <c r="O1733" s="748" t="str">
        <f>'Part VI-Revenues &amp; Expenses'!O18</f>
        <v>Acquisition/Rehab</v>
      </c>
      <c r="P1733" s="748">
        <f>'Part VI-Revenues &amp; Expenses'!P18</f>
        <v>36240</v>
      </c>
      <c r="Q1733" s="748" t="e">
        <f>'Part VI-Revenues &amp; Expenses'!Q18</f>
        <v>#N/A</v>
      </c>
      <c r="R1733" s="748">
        <f>'Part VI-Revenues &amp; Expenses'!R18</f>
        <v>0</v>
      </c>
      <c r="T1733" s="748">
        <f t="shared" si="100"/>
        <v>1</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f t="shared" si="282"/>
        <v>1</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f t="shared" si="125"/>
        <v>390</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f t="shared" si="145"/>
        <v>390</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f t="shared" si="170"/>
        <v>1</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f t="shared" si="200"/>
        <v>1</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f t="shared" si="240"/>
        <v>1</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t="str">
        <f>'Part VI-Revenues &amp; Expenses'!B19</f>
        <v>60% AMI</v>
      </c>
      <c r="C1734" s="748" t="str">
        <f>'Part VI-Revenues &amp; Expenses'!C19</f>
        <v>Efficiency</v>
      </c>
      <c r="D1734" s="748">
        <f>'Part VI-Revenues &amp; Expenses'!D19</f>
        <v>1</v>
      </c>
      <c r="E1734" s="748">
        <f>'Part VI-Revenues &amp; Expenses'!E19</f>
        <v>8</v>
      </c>
      <c r="F1734" s="748">
        <f>'Part VI-Revenues &amp; Expenses'!F19</f>
        <v>391</v>
      </c>
      <c r="G1734" s="748">
        <f>'Part VI-Revenues &amp; Expenses'!G19</f>
        <v>718</v>
      </c>
      <c r="H1734" s="748">
        <f>'Part VI-Revenues &amp; Expenses'!H19</f>
        <v>906</v>
      </c>
      <c r="I1734" s="748">
        <f>'Part VI-Revenues &amp; Expenses'!I19</f>
        <v>56</v>
      </c>
      <c r="J1734" s="748" t="str">
        <f>'Part VI-Revenues &amp; Expenses'!J19</f>
        <v>HUD</v>
      </c>
      <c r="K1734" s="748">
        <f t="shared" si="271"/>
        <v>850</v>
      </c>
      <c r="L1734" s="748">
        <f t="shared" si="99"/>
        <v>6800</v>
      </c>
      <c r="M1734" s="748" t="str">
        <f>'Part VI-Revenues &amp; Expenses'!M19</f>
        <v>No</v>
      </c>
      <c r="N1734" s="748" t="str">
        <f>'Part VI-Revenues &amp; Expenses'!N19</f>
        <v>3+ Story</v>
      </c>
      <c r="O1734" s="748" t="str">
        <f>'Part VI-Revenues &amp; Expenses'!O19</f>
        <v>Acquisition/Rehab</v>
      </c>
      <c r="P1734" s="748">
        <f>'Part VI-Revenues &amp; Expenses'!P19</f>
        <v>36240</v>
      </c>
      <c r="Q1734" s="748" t="e">
        <f>'Part VI-Revenues &amp; Expenses'!Q19</f>
        <v>#N/A</v>
      </c>
      <c r="R1734" s="748">
        <f>'Part VI-Revenues &amp; Expenses'!R19</f>
        <v>0</v>
      </c>
      <c r="T1734" s="748">
        <f t="shared" si="100"/>
        <v>8</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f t="shared" si="282"/>
        <v>8</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f t="shared" si="125"/>
        <v>3128</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f t="shared" si="145"/>
        <v>3128</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f t="shared" si="170"/>
        <v>8</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f t="shared" si="200"/>
        <v>8</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f t="shared" si="240"/>
        <v>8</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t="str">
        <f>'Part VI-Revenues &amp; Expenses'!B20</f>
        <v>60% AMI</v>
      </c>
      <c r="C1735" s="748" t="str">
        <f>'Part VI-Revenues &amp; Expenses'!C20</f>
        <v>Efficiency</v>
      </c>
      <c r="D1735" s="748">
        <f>'Part VI-Revenues &amp; Expenses'!D20</f>
        <v>1</v>
      </c>
      <c r="E1735" s="748">
        <f>'Part VI-Revenues &amp; Expenses'!E20</f>
        <v>8</v>
      </c>
      <c r="F1735" s="748">
        <f>'Part VI-Revenues &amp; Expenses'!F20</f>
        <v>395</v>
      </c>
      <c r="G1735" s="748">
        <f>'Part VI-Revenues &amp; Expenses'!G20</f>
        <v>718</v>
      </c>
      <c r="H1735" s="748">
        <f>'Part VI-Revenues &amp; Expenses'!H20</f>
        <v>906</v>
      </c>
      <c r="I1735" s="748">
        <f>'Part VI-Revenues &amp; Expenses'!I20</f>
        <v>56</v>
      </c>
      <c r="J1735" s="748" t="str">
        <f>'Part VI-Revenues &amp; Expenses'!J20</f>
        <v>HUD</v>
      </c>
      <c r="K1735" s="748">
        <f t="shared" si="271"/>
        <v>850</v>
      </c>
      <c r="L1735" s="748">
        <f t="shared" si="99"/>
        <v>6800</v>
      </c>
      <c r="M1735" s="748" t="str">
        <f>'Part VI-Revenues &amp; Expenses'!M20</f>
        <v>No</v>
      </c>
      <c r="N1735" s="748" t="str">
        <f>'Part VI-Revenues &amp; Expenses'!N20</f>
        <v>3+ Story</v>
      </c>
      <c r="O1735" s="748" t="str">
        <f>'Part VI-Revenues &amp; Expenses'!O20</f>
        <v>Acquisition/Rehab</v>
      </c>
      <c r="P1735" s="748">
        <f>'Part VI-Revenues &amp; Expenses'!P20</f>
        <v>36240</v>
      </c>
      <c r="Q1735" s="748" t="e">
        <f>'Part VI-Revenues &amp; Expenses'!Q20</f>
        <v>#N/A</v>
      </c>
      <c r="R1735" s="748">
        <f>'Part VI-Revenues &amp; Expenses'!R20</f>
        <v>0</v>
      </c>
      <c r="T1735" s="748">
        <f t="shared" si="100"/>
        <v>8</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f t="shared" si="282"/>
        <v>8</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f t="shared" si="125"/>
        <v>3160</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f t="shared" si="145"/>
        <v>3160</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f t="shared" si="170"/>
        <v>8</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f t="shared" si="200"/>
        <v>8</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f t="shared" si="240"/>
        <v>8</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t="str">
        <f>'Part VI-Revenues &amp; Expenses'!B21</f>
        <v>60% AMI</v>
      </c>
      <c r="C1736" s="748" t="str">
        <f>'Part VI-Revenues &amp; Expenses'!C21</f>
        <v>Efficiency</v>
      </c>
      <c r="D1736" s="748">
        <f>'Part VI-Revenues &amp; Expenses'!D21</f>
        <v>1</v>
      </c>
      <c r="E1736" s="748">
        <f>'Part VI-Revenues &amp; Expenses'!E21</f>
        <v>8</v>
      </c>
      <c r="F1736" s="748">
        <f>'Part VI-Revenues &amp; Expenses'!F21</f>
        <v>400</v>
      </c>
      <c r="G1736" s="748">
        <f>'Part VI-Revenues &amp; Expenses'!G21</f>
        <v>718</v>
      </c>
      <c r="H1736" s="748">
        <f>'Part VI-Revenues &amp; Expenses'!H21</f>
        <v>906</v>
      </c>
      <c r="I1736" s="748">
        <f>'Part VI-Revenues &amp; Expenses'!I21</f>
        <v>56</v>
      </c>
      <c r="J1736" s="748" t="str">
        <f>'Part VI-Revenues &amp; Expenses'!J21</f>
        <v>HUD</v>
      </c>
      <c r="K1736" s="748">
        <f t="shared" si="271"/>
        <v>850</v>
      </c>
      <c r="L1736" s="748">
        <f t="shared" si="99"/>
        <v>6800</v>
      </c>
      <c r="M1736" s="748" t="str">
        <f>'Part VI-Revenues &amp; Expenses'!M21</f>
        <v>No</v>
      </c>
      <c r="N1736" s="748" t="str">
        <f>'Part VI-Revenues &amp; Expenses'!N21</f>
        <v>3+ Story</v>
      </c>
      <c r="O1736" s="748" t="str">
        <f>'Part VI-Revenues &amp; Expenses'!O21</f>
        <v>Acquisition/Rehab</v>
      </c>
      <c r="P1736" s="748">
        <f>'Part VI-Revenues &amp; Expenses'!P21</f>
        <v>36240</v>
      </c>
      <c r="Q1736" s="748" t="e">
        <f>'Part VI-Revenues &amp; Expenses'!Q21</f>
        <v>#N/A</v>
      </c>
      <c r="R1736" s="748">
        <f>'Part VI-Revenues &amp; Expenses'!R21</f>
        <v>0</v>
      </c>
      <c r="T1736" s="748">
        <f t="shared" si="100"/>
        <v>8</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f t="shared" si="282"/>
        <v>8</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f t="shared" si="125"/>
        <v>3200</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f t="shared" si="145"/>
        <v>3200</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f t="shared" si="170"/>
        <v>8</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f t="shared" si="200"/>
        <v>8</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f t="shared" si="240"/>
        <v>8</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t="str">
        <f>'Part VI-Revenues &amp; Expenses'!B22</f>
        <v>60% AMI</v>
      </c>
      <c r="C1737" s="748" t="str">
        <f>'Part VI-Revenues &amp; Expenses'!C22</f>
        <v>Efficiency</v>
      </c>
      <c r="D1737" s="748">
        <f>'Part VI-Revenues &amp; Expenses'!D22</f>
        <v>1</v>
      </c>
      <c r="E1737" s="748">
        <f>'Part VI-Revenues &amp; Expenses'!E22</f>
        <v>1</v>
      </c>
      <c r="F1737" s="748">
        <f>'Part VI-Revenues &amp; Expenses'!F22</f>
        <v>426</v>
      </c>
      <c r="G1737" s="748">
        <f>'Part VI-Revenues &amp; Expenses'!G22</f>
        <v>718</v>
      </c>
      <c r="H1737" s="748">
        <f>'Part VI-Revenues &amp; Expenses'!H22</f>
        <v>906</v>
      </c>
      <c r="I1737" s="748">
        <f>'Part VI-Revenues &amp; Expenses'!I22</f>
        <v>56</v>
      </c>
      <c r="J1737" s="748" t="str">
        <f>'Part VI-Revenues &amp; Expenses'!J22</f>
        <v>HUD</v>
      </c>
      <c r="K1737" s="748">
        <f t="shared" si="271"/>
        <v>850</v>
      </c>
      <c r="L1737" s="748">
        <f t="shared" si="99"/>
        <v>850</v>
      </c>
      <c r="M1737" s="748" t="str">
        <f>'Part VI-Revenues &amp; Expenses'!M22</f>
        <v>No</v>
      </c>
      <c r="N1737" s="748" t="str">
        <f>'Part VI-Revenues &amp; Expenses'!N22</f>
        <v>3+ Story</v>
      </c>
      <c r="O1737" s="748" t="str">
        <f>'Part VI-Revenues &amp; Expenses'!O22</f>
        <v>Acquisition/Rehab</v>
      </c>
      <c r="P1737" s="748">
        <f>'Part VI-Revenues &amp; Expenses'!P22</f>
        <v>36240</v>
      </c>
      <c r="Q1737" s="748" t="e">
        <f>'Part VI-Revenues &amp; Expenses'!Q22</f>
        <v>#N/A</v>
      </c>
      <c r="R1737" s="748">
        <f>'Part VI-Revenues &amp; Expenses'!R22</f>
        <v>0</v>
      </c>
      <c r="T1737" s="748">
        <f t="shared" si="100"/>
        <v>1</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f t="shared" si="282"/>
        <v>1</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f t="shared" si="125"/>
        <v>426</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f t="shared" si="145"/>
        <v>426</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f t="shared" si="170"/>
        <v>1</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f t="shared" si="200"/>
        <v>1</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f t="shared" si="240"/>
        <v>1</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t="str">
        <f>'Part VI-Revenues &amp; Expenses'!B23</f>
        <v>60% AMI</v>
      </c>
      <c r="C1738" s="748" t="str">
        <f>'Part VI-Revenues &amp; Expenses'!C23</f>
        <v>Efficiency</v>
      </c>
      <c r="D1738" s="748">
        <f>'Part VI-Revenues &amp; Expenses'!D23</f>
        <v>1</v>
      </c>
      <c r="E1738" s="748">
        <f>'Part VI-Revenues &amp; Expenses'!E23</f>
        <v>8</v>
      </c>
      <c r="F1738" s="748">
        <f>'Part VI-Revenues &amp; Expenses'!F23</f>
        <v>429</v>
      </c>
      <c r="G1738" s="748">
        <f>'Part VI-Revenues &amp; Expenses'!G23</f>
        <v>718</v>
      </c>
      <c r="H1738" s="748">
        <f>'Part VI-Revenues &amp; Expenses'!H23</f>
        <v>906</v>
      </c>
      <c r="I1738" s="748">
        <f>'Part VI-Revenues &amp; Expenses'!I23</f>
        <v>56</v>
      </c>
      <c r="J1738" s="748" t="str">
        <f>'Part VI-Revenues &amp; Expenses'!J23</f>
        <v>HUD</v>
      </c>
      <c r="K1738" s="748">
        <f t="shared" si="271"/>
        <v>850</v>
      </c>
      <c r="L1738" s="748">
        <f t="shared" si="99"/>
        <v>6800</v>
      </c>
      <c r="M1738" s="748" t="str">
        <f>'Part VI-Revenues &amp; Expenses'!M23</f>
        <v>No</v>
      </c>
      <c r="N1738" s="748" t="str">
        <f>'Part VI-Revenues &amp; Expenses'!N23</f>
        <v>3+ Story</v>
      </c>
      <c r="O1738" s="748" t="str">
        <f>'Part VI-Revenues &amp; Expenses'!O23</f>
        <v>Acquisition/Rehab</v>
      </c>
      <c r="P1738" s="748">
        <f>'Part VI-Revenues &amp; Expenses'!P23</f>
        <v>36240</v>
      </c>
      <c r="Q1738" s="748" t="e">
        <f>'Part VI-Revenues &amp; Expenses'!Q23</f>
        <v>#N/A</v>
      </c>
      <c r="R1738" s="748">
        <f>'Part VI-Revenues &amp; Expenses'!R23</f>
        <v>0</v>
      </c>
      <c r="T1738" s="748">
        <f t="shared" si="100"/>
        <v>8</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f t="shared" si="282"/>
        <v>8</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f t="shared" si="125"/>
        <v>3432</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f t="shared" si="145"/>
        <v>3432</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f t="shared" si="170"/>
        <v>8</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f t="shared" si="200"/>
        <v>8</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f t="shared" si="240"/>
        <v>8</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t="str">
        <f>'Part VI-Revenues &amp; Expenses'!B24</f>
        <v>60% AMI</v>
      </c>
      <c r="C1739" s="748" t="str">
        <f>'Part VI-Revenues &amp; Expenses'!C24</f>
        <v>Efficiency</v>
      </c>
      <c r="D1739" s="748">
        <f>'Part VI-Revenues &amp; Expenses'!D24</f>
        <v>1</v>
      </c>
      <c r="E1739" s="748">
        <f>'Part VI-Revenues &amp; Expenses'!E24</f>
        <v>8</v>
      </c>
      <c r="F1739" s="748">
        <f>'Part VI-Revenues &amp; Expenses'!F24</f>
        <v>432</v>
      </c>
      <c r="G1739" s="748">
        <f>'Part VI-Revenues &amp; Expenses'!G24</f>
        <v>718</v>
      </c>
      <c r="H1739" s="748">
        <f>'Part VI-Revenues &amp; Expenses'!H24</f>
        <v>906</v>
      </c>
      <c r="I1739" s="748">
        <f>'Part VI-Revenues &amp; Expenses'!I24</f>
        <v>56</v>
      </c>
      <c r="J1739" s="748" t="str">
        <f>'Part VI-Revenues &amp; Expenses'!J24</f>
        <v>HUD</v>
      </c>
      <c r="K1739" s="748">
        <f t="shared" si="271"/>
        <v>850</v>
      </c>
      <c r="L1739" s="748">
        <f t="shared" si="99"/>
        <v>6800</v>
      </c>
      <c r="M1739" s="748" t="str">
        <f>'Part VI-Revenues &amp; Expenses'!M24</f>
        <v>No</v>
      </c>
      <c r="N1739" s="748" t="str">
        <f>'Part VI-Revenues &amp; Expenses'!N24</f>
        <v>3+ Story</v>
      </c>
      <c r="O1739" s="748" t="str">
        <f>'Part VI-Revenues &amp; Expenses'!O24</f>
        <v>Acquisition/Rehab</v>
      </c>
      <c r="P1739" s="748">
        <f>'Part VI-Revenues &amp; Expenses'!P24</f>
        <v>36240</v>
      </c>
      <c r="Q1739" s="748" t="e">
        <f>'Part VI-Revenues &amp; Expenses'!Q24</f>
        <v>#N/A</v>
      </c>
      <c r="R1739" s="748">
        <f>'Part VI-Revenues &amp; Expenses'!R24</f>
        <v>0</v>
      </c>
      <c r="T1739" s="748">
        <f t="shared" si="100"/>
        <v>8</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f t="shared" si="282"/>
        <v>8</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f t="shared" si="125"/>
        <v>3456</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f t="shared" si="145"/>
        <v>3456</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f t="shared" si="170"/>
        <v>8</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f t="shared" si="200"/>
        <v>8</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f t="shared" si="240"/>
        <v>8</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t="str">
        <f>'Part VI-Revenues &amp; Expenses'!B25</f>
        <v>60% AMI</v>
      </c>
      <c r="C1740" s="748" t="str">
        <f>'Part VI-Revenues &amp; Expenses'!C25</f>
        <v>Efficiency</v>
      </c>
      <c r="D1740" s="748">
        <f>'Part VI-Revenues &amp; Expenses'!D25</f>
        <v>1</v>
      </c>
      <c r="E1740" s="748">
        <f>'Part VI-Revenues &amp; Expenses'!E25</f>
        <v>1</v>
      </c>
      <c r="F1740" s="748">
        <f>'Part VI-Revenues &amp; Expenses'!F25</f>
        <v>436</v>
      </c>
      <c r="G1740" s="748">
        <f>'Part VI-Revenues &amp; Expenses'!G25</f>
        <v>718</v>
      </c>
      <c r="H1740" s="748">
        <f>'Part VI-Revenues &amp; Expenses'!H25</f>
        <v>906</v>
      </c>
      <c r="I1740" s="748">
        <f>'Part VI-Revenues &amp; Expenses'!I25</f>
        <v>56</v>
      </c>
      <c r="J1740" s="748" t="str">
        <f>'Part VI-Revenues &amp; Expenses'!J25</f>
        <v>HUD</v>
      </c>
      <c r="K1740" s="748">
        <f t="shared" si="271"/>
        <v>850</v>
      </c>
      <c r="L1740" s="748">
        <f t="shared" si="99"/>
        <v>850</v>
      </c>
      <c r="M1740" s="748" t="str">
        <f>'Part VI-Revenues &amp; Expenses'!M25</f>
        <v>No</v>
      </c>
      <c r="N1740" s="748" t="str">
        <f>'Part VI-Revenues &amp; Expenses'!N25</f>
        <v>3+ Story</v>
      </c>
      <c r="O1740" s="748" t="str">
        <f>'Part VI-Revenues &amp; Expenses'!O25</f>
        <v>Acquisition/Rehab</v>
      </c>
      <c r="P1740" s="748">
        <f>'Part VI-Revenues &amp; Expenses'!P25</f>
        <v>36240</v>
      </c>
      <c r="Q1740" s="748" t="e">
        <f>'Part VI-Revenues &amp; Expenses'!Q25</f>
        <v>#N/A</v>
      </c>
      <c r="R1740" s="748">
        <f>'Part VI-Revenues &amp; Expenses'!R25</f>
        <v>0</v>
      </c>
      <c r="T1740" s="748">
        <f t="shared" si="100"/>
        <v>1</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f t="shared" si="282"/>
        <v>1</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f t="shared" si="125"/>
        <v>436</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f t="shared" si="145"/>
        <v>436</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f t="shared" si="170"/>
        <v>1</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f t="shared" si="200"/>
        <v>1</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f t="shared" si="240"/>
        <v>1</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t="str">
        <f>'Part VI-Revenues &amp; Expenses'!B26</f>
        <v>60% AMI</v>
      </c>
      <c r="C1741" s="748" t="str">
        <f>'Part VI-Revenues &amp; Expenses'!C26</f>
        <v>Efficiency</v>
      </c>
      <c r="D1741" s="748">
        <f>'Part VI-Revenues &amp; Expenses'!D26</f>
        <v>1</v>
      </c>
      <c r="E1741" s="748">
        <f>'Part VI-Revenues &amp; Expenses'!E26</f>
        <v>8</v>
      </c>
      <c r="F1741" s="748">
        <f>'Part VI-Revenues &amp; Expenses'!F26</f>
        <v>458</v>
      </c>
      <c r="G1741" s="748">
        <f>'Part VI-Revenues &amp; Expenses'!G26</f>
        <v>718</v>
      </c>
      <c r="H1741" s="748">
        <f>'Part VI-Revenues &amp; Expenses'!H26</f>
        <v>906</v>
      </c>
      <c r="I1741" s="748">
        <f>'Part VI-Revenues &amp; Expenses'!I26</f>
        <v>56</v>
      </c>
      <c r="J1741" s="748" t="str">
        <f>'Part VI-Revenues &amp; Expenses'!J26</f>
        <v>HUD</v>
      </c>
      <c r="K1741" s="748">
        <f t="shared" si="271"/>
        <v>850</v>
      </c>
      <c r="L1741" s="748">
        <f t="shared" si="99"/>
        <v>6800</v>
      </c>
      <c r="M1741" s="748" t="str">
        <f>'Part VI-Revenues &amp; Expenses'!M26</f>
        <v>No</v>
      </c>
      <c r="N1741" s="748" t="str">
        <f>'Part VI-Revenues &amp; Expenses'!N26</f>
        <v>3+ Story</v>
      </c>
      <c r="O1741" s="748" t="str">
        <f>'Part VI-Revenues &amp; Expenses'!O26</f>
        <v>Acquisition/Rehab</v>
      </c>
      <c r="P1741" s="748">
        <f>'Part VI-Revenues &amp; Expenses'!P26</f>
        <v>36240</v>
      </c>
      <c r="Q1741" s="748" t="e">
        <f>'Part VI-Revenues &amp; Expenses'!Q26</f>
        <v>#N/A</v>
      </c>
      <c r="R1741" s="748">
        <f>'Part VI-Revenues &amp; Expenses'!R26</f>
        <v>0</v>
      </c>
      <c r="T1741" s="748">
        <f t="shared" si="100"/>
        <v>8</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f t="shared" si="282"/>
        <v>8</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f t="shared" si="125"/>
        <v>3664</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f t="shared" si="145"/>
        <v>3664</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f t="shared" si="170"/>
        <v>8</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f t="shared" si="200"/>
        <v>8</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f t="shared" si="240"/>
        <v>8</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t="str">
        <f>'Part VI-Revenues &amp; Expenses'!B27</f>
        <v>60% AMI</v>
      </c>
      <c r="C1742" s="748">
        <f>'Part VI-Revenues &amp; Expenses'!C27</f>
        <v>1</v>
      </c>
      <c r="D1742" s="748">
        <f>'Part VI-Revenues &amp; Expenses'!D27</f>
        <v>1</v>
      </c>
      <c r="E1742" s="748">
        <f>'Part VI-Revenues &amp; Expenses'!E27</f>
        <v>1</v>
      </c>
      <c r="F1742" s="748">
        <f>'Part VI-Revenues &amp; Expenses'!F27</f>
        <v>552</v>
      </c>
      <c r="G1742" s="748">
        <f>'Part VI-Revenues &amp; Expenses'!G27</f>
        <v>769</v>
      </c>
      <c r="H1742" s="748">
        <f>'Part VI-Revenues &amp; Expenses'!H27</f>
        <v>1031</v>
      </c>
      <c r="I1742" s="748">
        <f>'Part VI-Revenues &amp; Expenses'!I27</f>
        <v>56</v>
      </c>
      <c r="J1742" s="748" t="str">
        <f>'Part VI-Revenues &amp; Expenses'!J27</f>
        <v>HUD</v>
      </c>
      <c r="K1742" s="748">
        <f t="shared" si="271"/>
        <v>975</v>
      </c>
      <c r="L1742" s="748">
        <f t="shared" si="99"/>
        <v>975</v>
      </c>
      <c r="M1742" s="748" t="str">
        <f>'Part VI-Revenues &amp; Expenses'!M27</f>
        <v>No</v>
      </c>
      <c r="N1742" s="748" t="str">
        <f>'Part VI-Revenues &amp; Expenses'!N27</f>
        <v>3+ Story</v>
      </c>
      <c r="O1742" s="748" t="str">
        <f>'Part VI-Revenues &amp; Expenses'!O27</f>
        <v>Acquisition/Rehab</v>
      </c>
      <c r="P1742" s="748">
        <f>'Part VI-Revenues &amp; Expenses'!P27</f>
        <v>41240</v>
      </c>
      <c r="Q1742" s="748">
        <f>'Part VI-Revenues &amp; Expenses'!Q27</f>
        <v>0.76583101207056636</v>
      </c>
      <c r="R1742" s="748">
        <f>'Part VI-Revenues &amp; Expenses'!R27</f>
        <v>0</v>
      </c>
      <c r="T1742" s="748" t="str">
        <f t="shared" si="100"/>
        <v/>
      </c>
      <c r="U1742" s="748">
        <f t="shared" si="101"/>
        <v>1</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f t="shared" si="283"/>
        <v>1</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f t="shared" si="126"/>
        <v>552</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f t="shared" si="146"/>
        <v>552</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f t="shared" si="171"/>
        <v>1</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f t="shared" si="201"/>
        <v>1</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f t="shared" si="241"/>
        <v>1</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t="str">
        <f>'Part VI-Revenues &amp; Expenses'!B28</f>
        <v>60% AMI</v>
      </c>
      <c r="C1743" s="748">
        <f>'Part VI-Revenues &amp; Expenses'!C28</f>
        <v>1</v>
      </c>
      <c r="D1743" s="748">
        <f>'Part VI-Revenues &amp; Expenses'!D28</f>
        <v>1</v>
      </c>
      <c r="E1743" s="748">
        <f>'Part VI-Revenues &amp; Expenses'!E28</f>
        <v>9</v>
      </c>
      <c r="F1743" s="748">
        <f>'Part VI-Revenues &amp; Expenses'!F28</f>
        <v>565</v>
      </c>
      <c r="G1743" s="748">
        <f>'Part VI-Revenues &amp; Expenses'!G28</f>
        <v>769</v>
      </c>
      <c r="H1743" s="748">
        <f>'Part VI-Revenues &amp; Expenses'!H28</f>
        <v>1031</v>
      </c>
      <c r="I1743" s="748">
        <f>'Part VI-Revenues &amp; Expenses'!I28</f>
        <v>56</v>
      </c>
      <c r="J1743" s="748" t="str">
        <f>'Part VI-Revenues &amp; Expenses'!J28</f>
        <v>HUD</v>
      </c>
      <c r="K1743" s="748">
        <f>MAX(0,H1743-I1743)</f>
        <v>975</v>
      </c>
      <c r="L1743" s="748">
        <f t="shared" si="99"/>
        <v>8775</v>
      </c>
      <c r="M1743" s="748" t="str">
        <f>'Part VI-Revenues &amp; Expenses'!M28</f>
        <v>No</v>
      </c>
      <c r="N1743" s="748" t="str">
        <f>'Part VI-Revenues &amp; Expenses'!N28</f>
        <v>3+ Story</v>
      </c>
      <c r="O1743" s="748" t="str">
        <f>'Part VI-Revenues &amp; Expenses'!O28</f>
        <v>Acquisition/Rehab</v>
      </c>
      <c r="P1743" s="748">
        <f>'Part VI-Revenues &amp; Expenses'!P28</f>
        <v>41240</v>
      </c>
      <c r="Q1743" s="748">
        <f>'Part VI-Revenues &amp; Expenses'!Q28</f>
        <v>0.76583101207056636</v>
      </c>
      <c r="R1743" s="748">
        <f>'Part VI-Revenues &amp; Expenses'!R28</f>
        <v>0</v>
      </c>
      <c r="T1743" s="748" t="str">
        <f t="shared" si="100"/>
        <v/>
      </c>
      <c r="U1743" s="748">
        <f t="shared" si="101"/>
        <v>9</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f t="shared" si="283"/>
        <v>9</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f t="shared" si="126"/>
        <v>5085</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f t="shared" si="146"/>
        <v>5085</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f t="shared" si="171"/>
        <v>9</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f t="shared" si="201"/>
        <v>9</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f t="shared" si="241"/>
        <v>9</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t="str">
        <f>'Part VI-Revenues &amp; Expenses'!B29</f>
        <v>60% AMI</v>
      </c>
      <c r="C1744" s="748">
        <f>'Part VI-Revenues &amp; Expenses'!C29</f>
        <v>1</v>
      </c>
      <c r="D1744" s="748">
        <f>'Part VI-Revenues &amp; Expenses'!D29</f>
        <v>1</v>
      </c>
      <c r="E1744" s="748">
        <f>'Part VI-Revenues &amp; Expenses'!E29</f>
        <v>8</v>
      </c>
      <c r="F1744" s="748">
        <f>'Part VI-Revenues &amp; Expenses'!F29</f>
        <v>573</v>
      </c>
      <c r="G1744" s="748">
        <f>'Part VI-Revenues &amp; Expenses'!G29</f>
        <v>769</v>
      </c>
      <c r="H1744" s="748">
        <f>'Part VI-Revenues &amp; Expenses'!H29</f>
        <v>1031</v>
      </c>
      <c r="I1744" s="748">
        <f>'Part VI-Revenues &amp; Expenses'!I29</f>
        <v>56</v>
      </c>
      <c r="J1744" s="748" t="str">
        <f>'Part VI-Revenues &amp; Expenses'!J29</f>
        <v>HUD</v>
      </c>
      <c r="K1744" s="748">
        <f t="shared" ref="K1744:K1762" si="302">MAX(0,H1744-I1744)</f>
        <v>975</v>
      </c>
      <c r="L1744" s="748">
        <f t="shared" si="99"/>
        <v>7800</v>
      </c>
      <c r="M1744" s="748" t="str">
        <f>'Part VI-Revenues &amp; Expenses'!M29</f>
        <v>No</v>
      </c>
      <c r="N1744" s="748" t="str">
        <f>'Part VI-Revenues &amp; Expenses'!N29</f>
        <v>3+ Story</v>
      </c>
      <c r="O1744" s="748" t="str">
        <f>'Part VI-Revenues &amp; Expenses'!O29</f>
        <v>Acquisition/Rehab</v>
      </c>
      <c r="P1744" s="748">
        <f>'Part VI-Revenues &amp; Expenses'!P29</f>
        <v>41240</v>
      </c>
      <c r="Q1744" s="748">
        <f>'Part VI-Revenues &amp; Expenses'!Q29</f>
        <v>0.76583101207056636</v>
      </c>
      <c r="R1744" s="748">
        <f>'Part VI-Revenues &amp; Expenses'!R29</f>
        <v>0</v>
      </c>
      <c r="T1744" s="748" t="str">
        <f t="shared" si="100"/>
        <v/>
      </c>
      <c r="U1744" s="748">
        <f t="shared" si="101"/>
        <v>8</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f t="shared" si="283"/>
        <v>8</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f t="shared" si="126"/>
        <v>4584</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f t="shared" si="146"/>
        <v>4584</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f t="shared" si="171"/>
        <v>8</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f t="shared" si="201"/>
        <v>8</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f t="shared" si="241"/>
        <v>8</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t="str">
        <f>'Part VI-Revenues &amp; Expenses'!B30</f>
        <v>60% AMI</v>
      </c>
      <c r="C1745" s="748">
        <f>'Part VI-Revenues &amp; Expenses'!C30</f>
        <v>1</v>
      </c>
      <c r="D1745" s="748">
        <f>'Part VI-Revenues &amp; Expenses'!D30</f>
        <v>1</v>
      </c>
      <c r="E1745" s="748">
        <f>'Part VI-Revenues &amp; Expenses'!E30</f>
        <v>8</v>
      </c>
      <c r="F1745" s="748">
        <f>'Part VI-Revenues &amp; Expenses'!F30</f>
        <v>594</v>
      </c>
      <c r="G1745" s="748">
        <f>'Part VI-Revenues &amp; Expenses'!G30</f>
        <v>769</v>
      </c>
      <c r="H1745" s="748">
        <f>'Part VI-Revenues &amp; Expenses'!H30</f>
        <v>1031</v>
      </c>
      <c r="I1745" s="748">
        <f>'Part VI-Revenues &amp; Expenses'!I30</f>
        <v>56</v>
      </c>
      <c r="J1745" s="748" t="str">
        <f>'Part VI-Revenues &amp; Expenses'!J30</f>
        <v>HUD</v>
      </c>
      <c r="K1745" s="748">
        <f t="shared" si="302"/>
        <v>975</v>
      </c>
      <c r="L1745" s="748">
        <f t="shared" si="99"/>
        <v>7800</v>
      </c>
      <c r="M1745" s="748" t="str">
        <f>'Part VI-Revenues &amp; Expenses'!M30</f>
        <v>No</v>
      </c>
      <c r="N1745" s="748" t="str">
        <f>'Part VI-Revenues &amp; Expenses'!N30</f>
        <v>3+ Story</v>
      </c>
      <c r="O1745" s="748" t="str">
        <f>'Part VI-Revenues &amp; Expenses'!O30</f>
        <v>Acquisition/Rehab</v>
      </c>
      <c r="P1745" s="748">
        <f>'Part VI-Revenues &amp; Expenses'!P30</f>
        <v>41240</v>
      </c>
      <c r="Q1745" s="748">
        <f>'Part VI-Revenues &amp; Expenses'!Q30</f>
        <v>0.76583101207056636</v>
      </c>
      <c r="R1745" s="748">
        <f>'Part VI-Revenues &amp; Expenses'!R30</f>
        <v>0</v>
      </c>
      <c r="T1745" s="748" t="str">
        <f t="shared" si="100"/>
        <v/>
      </c>
      <c r="U1745" s="748">
        <f t="shared" si="101"/>
        <v>8</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f t="shared" si="283"/>
        <v>8</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f t="shared" si="126"/>
        <v>4752</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f t="shared" si="146"/>
        <v>4752</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f t="shared" si="171"/>
        <v>8</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f t="shared" si="201"/>
        <v>8</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f t="shared" si="241"/>
        <v>8</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t="str">
        <f>'Part VI-Revenues &amp; Expenses'!B31</f>
        <v>60% AMI</v>
      </c>
      <c r="C1746" s="748">
        <f>'Part VI-Revenues &amp; Expenses'!C31</f>
        <v>1</v>
      </c>
      <c r="D1746" s="748">
        <f>'Part VI-Revenues &amp; Expenses'!D31</f>
        <v>1</v>
      </c>
      <c r="E1746" s="748">
        <f>'Part VI-Revenues &amp; Expenses'!E31</f>
        <v>8</v>
      </c>
      <c r="F1746" s="748">
        <f>'Part VI-Revenues &amp; Expenses'!F31</f>
        <v>598</v>
      </c>
      <c r="G1746" s="748">
        <f>'Part VI-Revenues &amp; Expenses'!G31</f>
        <v>769</v>
      </c>
      <c r="H1746" s="748">
        <f>'Part VI-Revenues &amp; Expenses'!H31</f>
        <v>1031</v>
      </c>
      <c r="I1746" s="748">
        <f>'Part VI-Revenues &amp; Expenses'!I31</f>
        <v>56</v>
      </c>
      <c r="J1746" s="748" t="str">
        <f>'Part VI-Revenues &amp; Expenses'!J31</f>
        <v>HUD</v>
      </c>
      <c r="K1746" s="748">
        <f t="shared" si="302"/>
        <v>975</v>
      </c>
      <c r="L1746" s="748">
        <f t="shared" si="99"/>
        <v>7800</v>
      </c>
      <c r="M1746" s="748" t="str">
        <f>'Part VI-Revenues &amp; Expenses'!M31</f>
        <v>No</v>
      </c>
      <c r="N1746" s="748" t="str">
        <f>'Part VI-Revenues &amp; Expenses'!N31</f>
        <v>3+ Story</v>
      </c>
      <c r="O1746" s="748" t="str">
        <f>'Part VI-Revenues &amp; Expenses'!O31</f>
        <v>Acquisition/Rehab</v>
      </c>
      <c r="P1746" s="748">
        <f>'Part VI-Revenues &amp; Expenses'!P31</f>
        <v>41240</v>
      </c>
      <c r="Q1746" s="748">
        <f>'Part VI-Revenues &amp; Expenses'!Q31</f>
        <v>0.76583101207056636</v>
      </c>
      <c r="R1746" s="748">
        <f>'Part VI-Revenues &amp; Expenses'!R31</f>
        <v>0</v>
      </c>
      <c r="T1746" s="748" t="str">
        <f t="shared" si="100"/>
        <v/>
      </c>
      <c r="U1746" s="748">
        <f t="shared" si="101"/>
        <v>8</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f t="shared" si="283"/>
        <v>8</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f t="shared" si="126"/>
        <v>4784</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f t="shared" si="146"/>
        <v>4784</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f t="shared" si="171"/>
        <v>8</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f t="shared" si="201"/>
        <v>8</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f t="shared" si="241"/>
        <v>8</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t="str">
        <f>'Part VI-Revenues &amp; Expenses'!B32</f>
        <v>60% AMI</v>
      </c>
      <c r="C1747" s="748">
        <f>'Part VI-Revenues &amp; Expenses'!C32</f>
        <v>1</v>
      </c>
      <c r="D1747" s="748">
        <f>'Part VI-Revenues &amp; Expenses'!D32</f>
        <v>1</v>
      </c>
      <c r="E1747" s="748">
        <f>'Part VI-Revenues &amp; Expenses'!E32</f>
        <v>1</v>
      </c>
      <c r="F1747" s="748">
        <f>'Part VI-Revenues &amp; Expenses'!F32</f>
        <v>599</v>
      </c>
      <c r="G1747" s="748">
        <f>'Part VI-Revenues &amp; Expenses'!G32</f>
        <v>769</v>
      </c>
      <c r="H1747" s="748">
        <f>'Part VI-Revenues &amp; Expenses'!H32</f>
        <v>1031</v>
      </c>
      <c r="I1747" s="748">
        <f>'Part VI-Revenues &amp; Expenses'!I32</f>
        <v>56</v>
      </c>
      <c r="J1747" s="748" t="str">
        <f>'Part VI-Revenues &amp; Expenses'!J32</f>
        <v>HUD</v>
      </c>
      <c r="K1747" s="748">
        <f t="shared" si="302"/>
        <v>975</v>
      </c>
      <c r="L1747" s="748">
        <f t="shared" si="99"/>
        <v>975</v>
      </c>
      <c r="M1747" s="748" t="str">
        <f>'Part VI-Revenues &amp; Expenses'!M32</f>
        <v>No</v>
      </c>
      <c r="N1747" s="748" t="str">
        <f>'Part VI-Revenues &amp; Expenses'!N32</f>
        <v>3+ Story</v>
      </c>
      <c r="O1747" s="748" t="str">
        <f>'Part VI-Revenues &amp; Expenses'!O32</f>
        <v>Acquisition/Rehab</v>
      </c>
      <c r="P1747" s="748">
        <f>'Part VI-Revenues &amp; Expenses'!P32</f>
        <v>41240</v>
      </c>
      <c r="Q1747" s="748">
        <f>'Part VI-Revenues &amp; Expenses'!Q32</f>
        <v>0.76583101207056636</v>
      </c>
      <c r="R1747" s="748">
        <f>'Part VI-Revenues &amp; Expenses'!R32</f>
        <v>0</v>
      </c>
      <c r="T1747" s="748" t="str">
        <f t="shared" si="100"/>
        <v/>
      </c>
      <c r="U1747" s="748">
        <f t="shared" si="101"/>
        <v>1</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f t="shared" si="283"/>
        <v>1</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f t="shared" si="126"/>
        <v>599</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f t="shared" si="146"/>
        <v>599</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f t="shared" si="171"/>
        <v>1</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f t="shared" si="201"/>
        <v>1</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f t="shared" si="241"/>
        <v>1</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t="str">
        <f>'Part VI-Revenues &amp; Expenses'!B33</f>
        <v>60% AMI</v>
      </c>
      <c r="C1748" s="748">
        <f>'Part VI-Revenues &amp; Expenses'!C33</f>
        <v>1</v>
      </c>
      <c r="D1748" s="748">
        <f>'Part VI-Revenues &amp; Expenses'!D33</f>
        <v>1</v>
      </c>
      <c r="E1748" s="748">
        <f>'Part VI-Revenues &amp; Expenses'!E33</f>
        <v>1</v>
      </c>
      <c r="F1748" s="748">
        <f>'Part VI-Revenues &amp; Expenses'!F33</f>
        <v>600</v>
      </c>
      <c r="G1748" s="748">
        <f>'Part VI-Revenues &amp; Expenses'!G33</f>
        <v>769</v>
      </c>
      <c r="H1748" s="748">
        <f>'Part VI-Revenues &amp; Expenses'!H33</f>
        <v>1031</v>
      </c>
      <c r="I1748" s="748">
        <f>'Part VI-Revenues &amp; Expenses'!I33</f>
        <v>56</v>
      </c>
      <c r="J1748" s="748" t="str">
        <f>'Part VI-Revenues &amp; Expenses'!J33</f>
        <v>HUD</v>
      </c>
      <c r="K1748" s="748">
        <f t="shared" si="302"/>
        <v>975</v>
      </c>
      <c r="L1748" s="748">
        <f t="shared" si="99"/>
        <v>975</v>
      </c>
      <c r="M1748" s="748" t="str">
        <f>'Part VI-Revenues &amp; Expenses'!M33</f>
        <v>No</v>
      </c>
      <c r="N1748" s="748" t="str">
        <f>'Part VI-Revenues &amp; Expenses'!N33</f>
        <v>3+ Story</v>
      </c>
      <c r="O1748" s="748" t="str">
        <f>'Part VI-Revenues &amp; Expenses'!O33</f>
        <v>Acquisition/Rehab</v>
      </c>
      <c r="P1748" s="748">
        <f>'Part VI-Revenues &amp; Expenses'!P33</f>
        <v>41240</v>
      </c>
      <c r="Q1748" s="748">
        <f>'Part VI-Revenues &amp; Expenses'!Q33</f>
        <v>0.76583101207056636</v>
      </c>
      <c r="R1748" s="748">
        <f>'Part VI-Revenues &amp; Expenses'!R33</f>
        <v>0</v>
      </c>
      <c r="T1748" s="748" t="str">
        <f t="shared" si="100"/>
        <v/>
      </c>
      <c r="U1748" s="748">
        <f t="shared" si="101"/>
        <v>1</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f t="shared" si="283"/>
        <v>1</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f t="shared" si="126"/>
        <v>600</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f t="shared" si="146"/>
        <v>600</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f t="shared" si="171"/>
        <v>1</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f t="shared" si="201"/>
        <v>1</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f t="shared" si="241"/>
        <v>1</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t="str">
        <f>'Part VI-Revenues &amp; Expenses'!B34</f>
        <v>60% AMI</v>
      </c>
      <c r="C1749" s="748">
        <f>'Part VI-Revenues &amp; Expenses'!C34</f>
        <v>1</v>
      </c>
      <c r="D1749" s="748">
        <f>'Part VI-Revenues &amp; Expenses'!D34</f>
        <v>1</v>
      </c>
      <c r="E1749" s="748">
        <f>'Part VI-Revenues &amp; Expenses'!E34</f>
        <v>8</v>
      </c>
      <c r="F1749" s="748">
        <f>'Part VI-Revenues &amp; Expenses'!F34</f>
        <v>626</v>
      </c>
      <c r="G1749" s="748">
        <f>'Part VI-Revenues &amp; Expenses'!G34</f>
        <v>769</v>
      </c>
      <c r="H1749" s="748">
        <f>'Part VI-Revenues &amp; Expenses'!H34</f>
        <v>1031</v>
      </c>
      <c r="I1749" s="748">
        <f>'Part VI-Revenues &amp; Expenses'!I34</f>
        <v>56</v>
      </c>
      <c r="J1749" s="748" t="str">
        <f>'Part VI-Revenues &amp; Expenses'!J34</f>
        <v>HUD</v>
      </c>
      <c r="K1749" s="748">
        <f t="shared" si="302"/>
        <v>975</v>
      </c>
      <c r="L1749" s="748">
        <f t="shared" si="99"/>
        <v>7800</v>
      </c>
      <c r="M1749" s="748" t="str">
        <f>'Part VI-Revenues &amp; Expenses'!M34</f>
        <v>No</v>
      </c>
      <c r="N1749" s="748" t="str">
        <f>'Part VI-Revenues &amp; Expenses'!N34</f>
        <v>3+ Story</v>
      </c>
      <c r="O1749" s="748" t="str">
        <f>'Part VI-Revenues &amp; Expenses'!O34</f>
        <v>Acquisition/Rehab</v>
      </c>
      <c r="P1749" s="748">
        <f>'Part VI-Revenues &amp; Expenses'!P34</f>
        <v>41240</v>
      </c>
      <c r="Q1749" s="748">
        <f>'Part VI-Revenues &amp; Expenses'!Q34</f>
        <v>0.76583101207056636</v>
      </c>
      <c r="R1749" s="748">
        <f>'Part VI-Revenues &amp; Expenses'!R34</f>
        <v>0</v>
      </c>
      <c r="T1749" s="748" t="str">
        <f t="shared" si="100"/>
        <v/>
      </c>
      <c r="U1749" s="748">
        <f t="shared" si="101"/>
        <v>8</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f t="shared" si="283"/>
        <v>8</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f t="shared" si="126"/>
        <v>5008</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f t="shared" si="146"/>
        <v>5008</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f t="shared" si="171"/>
        <v>8</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f t="shared" si="201"/>
        <v>8</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f t="shared" si="241"/>
        <v>8</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t="str">
        <f>'Part VI-Revenues &amp; Expenses'!B35</f>
        <v>60% AMI</v>
      </c>
      <c r="C1750" s="748">
        <f>'Part VI-Revenues &amp; Expenses'!C35</f>
        <v>1</v>
      </c>
      <c r="D1750" s="748">
        <f>'Part VI-Revenues &amp; Expenses'!D35</f>
        <v>1</v>
      </c>
      <c r="E1750" s="748">
        <f>'Part VI-Revenues &amp; Expenses'!E35</f>
        <v>7</v>
      </c>
      <c r="F1750" s="748">
        <f>'Part VI-Revenues &amp; Expenses'!F35</f>
        <v>628</v>
      </c>
      <c r="G1750" s="748">
        <f>'Part VI-Revenues &amp; Expenses'!G35</f>
        <v>769</v>
      </c>
      <c r="H1750" s="748">
        <f>'Part VI-Revenues &amp; Expenses'!H35</f>
        <v>1031</v>
      </c>
      <c r="I1750" s="748">
        <f>'Part VI-Revenues &amp; Expenses'!I35</f>
        <v>56</v>
      </c>
      <c r="J1750" s="748" t="str">
        <f>'Part VI-Revenues &amp; Expenses'!J35</f>
        <v>HUD</v>
      </c>
      <c r="K1750" s="748">
        <f t="shared" si="302"/>
        <v>975</v>
      </c>
      <c r="L1750" s="748">
        <f t="shared" si="99"/>
        <v>6825</v>
      </c>
      <c r="M1750" s="748" t="str">
        <f>'Part VI-Revenues &amp; Expenses'!M35</f>
        <v>No</v>
      </c>
      <c r="N1750" s="748" t="str">
        <f>'Part VI-Revenues &amp; Expenses'!N35</f>
        <v>3+ Story</v>
      </c>
      <c r="O1750" s="748" t="str">
        <f>'Part VI-Revenues &amp; Expenses'!O35</f>
        <v>Acquisition/Rehab</v>
      </c>
      <c r="P1750" s="748">
        <f>'Part VI-Revenues &amp; Expenses'!P35</f>
        <v>41240</v>
      </c>
      <c r="Q1750" s="748">
        <f>'Part VI-Revenues &amp; Expenses'!Q35</f>
        <v>0.76583101207056636</v>
      </c>
      <c r="R1750" s="748">
        <f>'Part VI-Revenues &amp; Expenses'!R35</f>
        <v>0</v>
      </c>
      <c r="T1750" s="748" t="str">
        <f t="shared" si="100"/>
        <v/>
      </c>
      <c r="U1750" s="748">
        <f t="shared" si="101"/>
        <v>7</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f t="shared" si="283"/>
        <v>7</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f t="shared" si="126"/>
        <v>4396</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f t="shared" si="146"/>
        <v>4396</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f t="shared" si="171"/>
        <v>7</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f t="shared" si="201"/>
        <v>7</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f t="shared" si="241"/>
        <v>7</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t="str">
        <f>'Part VI-Revenues &amp; Expenses'!B36</f>
        <v>60% AMI</v>
      </c>
      <c r="C1751" s="748">
        <f>'Part VI-Revenues &amp; Expenses'!C36</f>
        <v>1</v>
      </c>
      <c r="D1751" s="748">
        <f>'Part VI-Revenues &amp; Expenses'!D36</f>
        <v>1</v>
      </c>
      <c r="E1751" s="748">
        <f>'Part VI-Revenues &amp; Expenses'!E36</f>
        <v>8</v>
      </c>
      <c r="F1751" s="748">
        <f>'Part VI-Revenues &amp; Expenses'!F36</f>
        <v>629</v>
      </c>
      <c r="G1751" s="748">
        <f>'Part VI-Revenues &amp; Expenses'!G36</f>
        <v>769</v>
      </c>
      <c r="H1751" s="748">
        <f>'Part VI-Revenues &amp; Expenses'!H36</f>
        <v>1031</v>
      </c>
      <c r="I1751" s="748">
        <f>'Part VI-Revenues &amp; Expenses'!I36</f>
        <v>56</v>
      </c>
      <c r="J1751" s="748" t="str">
        <f>'Part VI-Revenues &amp; Expenses'!J36</f>
        <v>HUD</v>
      </c>
      <c r="K1751" s="748">
        <f t="shared" si="302"/>
        <v>975</v>
      </c>
      <c r="L1751" s="748">
        <f t="shared" si="99"/>
        <v>7800</v>
      </c>
      <c r="M1751" s="748" t="str">
        <f>'Part VI-Revenues &amp; Expenses'!M36</f>
        <v>No</v>
      </c>
      <c r="N1751" s="748" t="str">
        <f>'Part VI-Revenues &amp; Expenses'!N36</f>
        <v>3+ Story</v>
      </c>
      <c r="O1751" s="748" t="str">
        <f>'Part VI-Revenues &amp; Expenses'!O36</f>
        <v>Acquisition/Rehab</v>
      </c>
      <c r="P1751" s="748">
        <f>'Part VI-Revenues &amp; Expenses'!P36</f>
        <v>41240</v>
      </c>
      <c r="Q1751" s="748">
        <f>'Part VI-Revenues &amp; Expenses'!Q36</f>
        <v>0.76583101207056636</v>
      </c>
      <c r="R1751" s="748">
        <f>'Part VI-Revenues &amp; Expenses'!R36</f>
        <v>0</v>
      </c>
      <c r="T1751" s="748" t="str">
        <f t="shared" si="100"/>
        <v/>
      </c>
      <c r="U1751" s="748">
        <f t="shared" si="101"/>
        <v>8</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f t="shared" si="283"/>
        <v>8</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f t="shared" si="126"/>
        <v>5032</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f t="shared" si="146"/>
        <v>5032</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f t="shared" si="171"/>
        <v>8</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f t="shared" si="201"/>
        <v>8</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f t="shared" si="241"/>
        <v>8</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t="str">
        <f>'Part VI-Revenues &amp; Expenses'!B37</f>
        <v>60% AMI</v>
      </c>
      <c r="C1752" s="748">
        <f>'Part VI-Revenues &amp; Expenses'!C37</f>
        <v>1</v>
      </c>
      <c r="D1752" s="748">
        <f>'Part VI-Revenues &amp; Expenses'!D37</f>
        <v>1</v>
      </c>
      <c r="E1752" s="748">
        <f>'Part VI-Revenues &amp; Expenses'!E37</f>
        <v>1</v>
      </c>
      <c r="F1752" s="748">
        <f>'Part VI-Revenues &amp; Expenses'!F37</f>
        <v>633</v>
      </c>
      <c r="G1752" s="748">
        <f>'Part VI-Revenues &amp; Expenses'!G37</f>
        <v>769</v>
      </c>
      <c r="H1752" s="748">
        <f>'Part VI-Revenues &amp; Expenses'!H37</f>
        <v>1031</v>
      </c>
      <c r="I1752" s="748">
        <f>'Part VI-Revenues &amp; Expenses'!I37</f>
        <v>56</v>
      </c>
      <c r="J1752" s="748" t="str">
        <f>'Part VI-Revenues &amp; Expenses'!J37</f>
        <v>HUD</v>
      </c>
      <c r="K1752" s="748">
        <f t="shared" si="302"/>
        <v>975</v>
      </c>
      <c r="L1752" s="748">
        <f t="shared" si="99"/>
        <v>975</v>
      </c>
      <c r="M1752" s="748" t="str">
        <f>'Part VI-Revenues &amp; Expenses'!M37</f>
        <v>No</v>
      </c>
      <c r="N1752" s="748" t="str">
        <f>'Part VI-Revenues &amp; Expenses'!N37</f>
        <v>3+ Story</v>
      </c>
      <c r="O1752" s="748" t="str">
        <f>'Part VI-Revenues &amp; Expenses'!O37</f>
        <v>Acquisition/Rehab</v>
      </c>
      <c r="P1752" s="748">
        <f>'Part VI-Revenues &amp; Expenses'!P37</f>
        <v>41240</v>
      </c>
      <c r="Q1752" s="748">
        <f>'Part VI-Revenues &amp; Expenses'!Q37</f>
        <v>0.76583101207056636</v>
      </c>
      <c r="R1752" s="748">
        <f>'Part VI-Revenues &amp; Expenses'!R37</f>
        <v>0</v>
      </c>
      <c r="T1752" s="748" t="str">
        <f t="shared" si="100"/>
        <v/>
      </c>
      <c r="U1752" s="748">
        <f t="shared" si="101"/>
        <v>1</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f t="shared" si="283"/>
        <v>1</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f t="shared" si="126"/>
        <v>633</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f t="shared" si="146"/>
        <v>633</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f t="shared" si="171"/>
        <v>1</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f t="shared" si="201"/>
        <v>1</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f t="shared" si="241"/>
        <v>1</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t="str">
        <f>'Part VI-Revenues &amp; Expenses'!B38</f>
        <v>60% AMI</v>
      </c>
      <c r="C1753" s="748">
        <f>'Part VI-Revenues &amp; Expenses'!C38</f>
        <v>1</v>
      </c>
      <c r="D1753" s="748">
        <f>'Part VI-Revenues &amp; Expenses'!D38</f>
        <v>1</v>
      </c>
      <c r="E1753" s="748">
        <f>'Part VI-Revenues &amp; Expenses'!E38</f>
        <v>1</v>
      </c>
      <c r="F1753" s="748">
        <f>'Part VI-Revenues &amp; Expenses'!F38</f>
        <v>683</v>
      </c>
      <c r="G1753" s="748">
        <f>'Part VI-Revenues &amp; Expenses'!G38</f>
        <v>769</v>
      </c>
      <c r="H1753" s="748">
        <f>'Part VI-Revenues &amp; Expenses'!H38</f>
        <v>1031</v>
      </c>
      <c r="I1753" s="748">
        <f>'Part VI-Revenues &amp; Expenses'!I38</f>
        <v>56</v>
      </c>
      <c r="J1753" s="748" t="str">
        <f>'Part VI-Revenues &amp; Expenses'!J38</f>
        <v>HUD</v>
      </c>
      <c r="K1753" s="748">
        <f>MAX(0,H1753-I1753)</f>
        <v>975</v>
      </c>
      <c r="L1753" s="748">
        <f t="shared" si="99"/>
        <v>975</v>
      </c>
      <c r="M1753" s="748" t="str">
        <f>'Part VI-Revenues &amp; Expenses'!M38</f>
        <v>No</v>
      </c>
      <c r="N1753" s="748" t="str">
        <f>'Part VI-Revenues &amp; Expenses'!N38</f>
        <v>3+ Story</v>
      </c>
      <c r="O1753" s="748" t="str">
        <f>'Part VI-Revenues &amp; Expenses'!O38</f>
        <v>Acquisition/Rehab</v>
      </c>
      <c r="P1753" s="748">
        <f>'Part VI-Revenues &amp; Expenses'!P38</f>
        <v>41240</v>
      </c>
      <c r="Q1753" s="748">
        <f>'Part VI-Revenues &amp; Expenses'!Q38</f>
        <v>0.76583101207056636</v>
      </c>
      <c r="R1753" s="748">
        <f>'Part VI-Revenues &amp; Expenses'!R38</f>
        <v>0</v>
      </c>
      <c r="T1753" s="748" t="str">
        <f t="shared" si="100"/>
        <v/>
      </c>
      <c r="U1753" s="748">
        <f t="shared" si="101"/>
        <v>1</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f t="shared" si="283"/>
        <v>1</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f t="shared" si="126"/>
        <v>683</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f t="shared" si="146"/>
        <v>683</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f t="shared" si="171"/>
        <v>1</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f t="shared" si="201"/>
        <v>1</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f t="shared" si="241"/>
        <v>1</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t="str">
        <f>'Part VI-Revenues &amp; Expenses'!B39</f>
        <v>60% AMI</v>
      </c>
      <c r="C1754" s="748">
        <f>'Part VI-Revenues &amp; Expenses'!C39</f>
        <v>1</v>
      </c>
      <c r="D1754" s="748">
        <f>'Part VI-Revenues &amp; Expenses'!D39</f>
        <v>1</v>
      </c>
      <c r="E1754" s="748">
        <f>'Part VI-Revenues &amp; Expenses'!E39</f>
        <v>1</v>
      </c>
      <c r="F1754" s="748">
        <f>'Part VI-Revenues &amp; Expenses'!F39</f>
        <v>688</v>
      </c>
      <c r="G1754" s="748">
        <f>'Part VI-Revenues &amp; Expenses'!G39</f>
        <v>769</v>
      </c>
      <c r="H1754" s="748">
        <f>'Part VI-Revenues &amp; Expenses'!H39</f>
        <v>1031</v>
      </c>
      <c r="I1754" s="748">
        <f>'Part VI-Revenues &amp; Expenses'!I39</f>
        <v>56</v>
      </c>
      <c r="J1754" s="748" t="str">
        <f>'Part VI-Revenues &amp; Expenses'!J39</f>
        <v>HUD</v>
      </c>
      <c r="K1754" s="748">
        <f t="shared" ref="K1754:K1761" si="303">MAX(0,H1754-I1754)</f>
        <v>975</v>
      </c>
      <c r="L1754" s="748">
        <f t="shared" si="99"/>
        <v>975</v>
      </c>
      <c r="M1754" s="748" t="str">
        <f>'Part VI-Revenues &amp; Expenses'!M39</f>
        <v>No</v>
      </c>
      <c r="N1754" s="748" t="str">
        <f>'Part VI-Revenues &amp; Expenses'!N39</f>
        <v>3+ Story</v>
      </c>
      <c r="O1754" s="748" t="str">
        <f>'Part VI-Revenues &amp; Expenses'!O39</f>
        <v>Acquisition/Rehab</v>
      </c>
      <c r="P1754" s="748">
        <f>'Part VI-Revenues &amp; Expenses'!P39</f>
        <v>41240</v>
      </c>
      <c r="Q1754" s="748">
        <f>'Part VI-Revenues &amp; Expenses'!Q39</f>
        <v>0.76583101207056636</v>
      </c>
      <c r="R1754" s="748">
        <f>'Part VI-Revenues &amp; Expenses'!R39</f>
        <v>0</v>
      </c>
      <c r="T1754" s="748" t="str">
        <f t="shared" si="100"/>
        <v/>
      </c>
      <c r="U1754" s="748">
        <f t="shared" si="101"/>
        <v>1</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f t="shared" si="283"/>
        <v>1</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f t="shared" si="126"/>
        <v>688</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f t="shared" si="146"/>
        <v>688</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f t="shared" si="171"/>
        <v>1</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f t="shared" si="201"/>
        <v>1</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f t="shared" si="241"/>
        <v>1</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t="str">
        <f>'Part VI-Revenues &amp; Expenses'!B40</f>
        <v>60% AMI</v>
      </c>
      <c r="C1755" s="748">
        <f>'Part VI-Revenues &amp; Expenses'!C40</f>
        <v>1</v>
      </c>
      <c r="D1755" s="748">
        <f>'Part VI-Revenues &amp; Expenses'!D40</f>
        <v>1</v>
      </c>
      <c r="E1755" s="748">
        <f>'Part VI-Revenues &amp; Expenses'!E40</f>
        <v>8</v>
      </c>
      <c r="F1755" s="748">
        <f>'Part VI-Revenues &amp; Expenses'!F40</f>
        <v>689</v>
      </c>
      <c r="G1755" s="748">
        <f>'Part VI-Revenues &amp; Expenses'!G40</f>
        <v>769</v>
      </c>
      <c r="H1755" s="748">
        <f>'Part VI-Revenues &amp; Expenses'!H40</f>
        <v>1031</v>
      </c>
      <c r="I1755" s="748">
        <f>'Part VI-Revenues &amp; Expenses'!I40</f>
        <v>56</v>
      </c>
      <c r="J1755" s="748" t="str">
        <f>'Part VI-Revenues &amp; Expenses'!J40</f>
        <v>HUD</v>
      </c>
      <c r="K1755" s="748">
        <f t="shared" si="303"/>
        <v>975</v>
      </c>
      <c r="L1755" s="748">
        <f t="shared" si="99"/>
        <v>7800</v>
      </c>
      <c r="M1755" s="748" t="str">
        <f>'Part VI-Revenues &amp; Expenses'!M40</f>
        <v>No</v>
      </c>
      <c r="N1755" s="748" t="str">
        <f>'Part VI-Revenues &amp; Expenses'!N40</f>
        <v>3+ Story</v>
      </c>
      <c r="O1755" s="748" t="str">
        <f>'Part VI-Revenues &amp; Expenses'!O40</f>
        <v>Acquisition/Rehab</v>
      </c>
      <c r="P1755" s="748">
        <f>'Part VI-Revenues &amp; Expenses'!P40</f>
        <v>41240</v>
      </c>
      <c r="Q1755" s="748">
        <f>'Part VI-Revenues &amp; Expenses'!Q40</f>
        <v>0.76583101207056636</v>
      </c>
      <c r="R1755" s="748">
        <f>'Part VI-Revenues &amp; Expenses'!R40</f>
        <v>0</v>
      </c>
      <c r="T1755" s="748" t="str">
        <f t="shared" si="100"/>
        <v/>
      </c>
      <c r="U1755" s="748">
        <f t="shared" si="101"/>
        <v>8</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f t="shared" si="283"/>
        <v>8</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f t="shared" si="126"/>
        <v>5512</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f t="shared" si="146"/>
        <v>5512</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f t="shared" si="171"/>
        <v>8</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f t="shared" si="201"/>
        <v>8</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f t="shared" si="241"/>
        <v>8</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t="str">
        <f>'Part VI-Revenues &amp; Expenses'!B41</f>
        <v>60% AMI</v>
      </c>
      <c r="C1756" s="748">
        <f>'Part VI-Revenues &amp; Expenses'!C41</f>
        <v>1</v>
      </c>
      <c r="D1756" s="748">
        <f>'Part VI-Revenues &amp; Expenses'!D41</f>
        <v>1</v>
      </c>
      <c r="E1756" s="748">
        <f>'Part VI-Revenues &amp; Expenses'!E41</f>
        <v>2</v>
      </c>
      <c r="F1756" s="748">
        <f>'Part VI-Revenues &amp; Expenses'!F41</f>
        <v>695</v>
      </c>
      <c r="G1756" s="748">
        <f>'Part VI-Revenues &amp; Expenses'!G41</f>
        <v>769</v>
      </c>
      <c r="H1756" s="748">
        <f>'Part VI-Revenues &amp; Expenses'!H41</f>
        <v>1031</v>
      </c>
      <c r="I1756" s="748">
        <f>'Part VI-Revenues &amp; Expenses'!I41</f>
        <v>56</v>
      </c>
      <c r="J1756" s="748" t="str">
        <f>'Part VI-Revenues &amp; Expenses'!J41</f>
        <v>HUD</v>
      </c>
      <c r="K1756" s="748">
        <f t="shared" si="303"/>
        <v>975</v>
      </c>
      <c r="L1756" s="748">
        <f t="shared" si="99"/>
        <v>1950</v>
      </c>
      <c r="M1756" s="748" t="str">
        <f>'Part VI-Revenues &amp; Expenses'!M41</f>
        <v>No</v>
      </c>
      <c r="N1756" s="748" t="str">
        <f>'Part VI-Revenues &amp; Expenses'!N41</f>
        <v>3+ Story</v>
      </c>
      <c r="O1756" s="748" t="str">
        <f>'Part VI-Revenues &amp; Expenses'!O41</f>
        <v>Acquisition/Rehab</v>
      </c>
      <c r="P1756" s="748">
        <f>'Part VI-Revenues &amp; Expenses'!P41</f>
        <v>41240</v>
      </c>
      <c r="Q1756" s="748">
        <f>'Part VI-Revenues &amp; Expenses'!Q41</f>
        <v>0.76583101207056636</v>
      </c>
      <c r="R1756" s="748">
        <f>'Part VI-Revenues &amp; Expenses'!R41</f>
        <v>0</v>
      </c>
      <c r="T1756" s="748" t="str">
        <f t="shared" si="100"/>
        <v/>
      </c>
      <c r="U1756" s="748">
        <f t="shared" si="101"/>
        <v>2</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f t="shared" si="283"/>
        <v>2</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f t="shared" si="126"/>
        <v>1390</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f t="shared" si="146"/>
        <v>1390</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f t="shared" si="171"/>
        <v>2</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f t="shared" si="201"/>
        <v>2</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f t="shared" si="241"/>
        <v>2</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t="str">
        <f>'Part VI-Revenues &amp; Expenses'!B42</f>
        <v>60% AMI</v>
      </c>
      <c r="C1757" s="748">
        <f>'Part VI-Revenues &amp; Expenses'!C42</f>
        <v>2</v>
      </c>
      <c r="D1757" s="748">
        <f>'Part VI-Revenues &amp; Expenses'!D42</f>
        <v>1</v>
      </c>
      <c r="E1757" s="748">
        <f>'Part VI-Revenues &amp; Expenses'!E42</f>
        <v>8</v>
      </c>
      <c r="F1757" s="748">
        <f>'Part VI-Revenues &amp; Expenses'!F42</f>
        <v>700</v>
      </c>
      <c r="G1757" s="748">
        <f>'Part VI-Revenues &amp; Expenses'!G42</f>
        <v>922</v>
      </c>
      <c r="H1757" s="748">
        <f>'Part VI-Revenues &amp; Expenses'!H42</f>
        <v>1152</v>
      </c>
      <c r="I1757" s="748">
        <f>'Part VI-Revenues &amp; Expenses'!I42</f>
        <v>77</v>
      </c>
      <c r="J1757" s="748" t="str">
        <f>'Part VI-Revenues &amp; Expenses'!J42</f>
        <v>HUD</v>
      </c>
      <c r="K1757" s="748">
        <f t="shared" si="303"/>
        <v>1075</v>
      </c>
      <c r="L1757" s="748">
        <f t="shared" si="99"/>
        <v>8600</v>
      </c>
      <c r="M1757" s="748" t="str">
        <f>'Part VI-Revenues &amp; Expenses'!M42</f>
        <v>No</v>
      </c>
      <c r="N1757" s="748" t="str">
        <f>'Part VI-Revenues &amp; Expenses'!N42</f>
        <v>3+ Story</v>
      </c>
      <c r="O1757" s="748" t="str">
        <f>'Part VI-Revenues &amp; Expenses'!O42</f>
        <v>Acquisition/Rehab</v>
      </c>
      <c r="P1757" s="748">
        <f>'Part VI-Revenues &amp; Expenses'!P42</f>
        <v>46080</v>
      </c>
      <c r="Q1757" s="748">
        <f>'Part VI-Revenues &amp; Expenses'!Q42</f>
        <v>0.71309192200557103</v>
      </c>
      <c r="R1757" s="748">
        <f>'Part VI-Revenues &amp; Expenses'!R42</f>
        <v>0</v>
      </c>
      <c r="T1757" s="748" t="str">
        <f t="shared" si="100"/>
        <v/>
      </c>
      <c r="U1757" s="748" t="str">
        <f t="shared" si="101"/>
        <v/>
      </c>
      <c r="V1757" s="748">
        <f t="shared" si="102"/>
        <v>8</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f t="shared" si="284"/>
        <v>8</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f t="shared" si="127"/>
        <v>5600</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f t="shared" si="147"/>
        <v>5600</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f t="shared" si="172"/>
        <v>8</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f t="shared" si="202"/>
        <v>8</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f t="shared" si="242"/>
        <v>8</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t="str">
        <f>'Part VI-Revenues &amp; Expenses'!B43</f>
        <v>60% AMI</v>
      </c>
      <c r="C1758" s="748">
        <f>'Part VI-Revenues &amp; Expenses'!C43</f>
        <v>2</v>
      </c>
      <c r="D1758" s="748">
        <f>'Part VI-Revenues &amp; Expenses'!D43</f>
        <v>1</v>
      </c>
      <c r="E1758" s="748">
        <f>'Part VI-Revenues &amp; Expenses'!E43</f>
        <v>1</v>
      </c>
      <c r="F1758" s="748">
        <f>'Part VI-Revenues &amp; Expenses'!F43</f>
        <v>708</v>
      </c>
      <c r="G1758" s="748">
        <f>'Part VI-Revenues &amp; Expenses'!G43</f>
        <v>922</v>
      </c>
      <c r="H1758" s="748">
        <f>'Part VI-Revenues &amp; Expenses'!H43</f>
        <v>1152</v>
      </c>
      <c r="I1758" s="748">
        <f>'Part VI-Revenues &amp; Expenses'!I43</f>
        <v>77</v>
      </c>
      <c r="J1758" s="748" t="str">
        <f>'Part VI-Revenues &amp; Expenses'!J43</f>
        <v>HUD</v>
      </c>
      <c r="K1758" s="748">
        <f t="shared" si="303"/>
        <v>1075</v>
      </c>
      <c r="L1758" s="748">
        <f t="shared" si="99"/>
        <v>1075</v>
      </c>
      <c r="M1758" s="748" t="str">
        <f>'Part VI-Revenues &amp; Expenses'!M43</f>
        <v>No</v>
      </c>
      <c r="N1758" s="748" t="str">
        <f>'Part VI-Revenues &amp; Expenses'!N43</f>
        <v>3+ Story</v>
      </c>
      <c r="O1758" s="748" t="str">
        <f>'Part VI-Revenues &amp; Expenses'!O43</f>
        <v>Acquisition/Rehab</v>
      </c>
      <c r="P1758" s="748">
        <f>'Part VI-Revenues &amp; Expenses'!P43</f>
        <v>46080</v>
      </c>
      <c r="Q1758" s="748">
        <f>'Part VI-Revenues &amp; Expenses'!Q43</f>
        <v>0.71309192200557103</v>
      </c>
      <c r="R1758" s="748">
        <f>'Part VI-Revenues &amp; Expenses'!R43</f>
        <v>0</v>
      </c>
      <c r="T1758" s="748" t="str">
        <f t="shared" si="100"/>
        <v/>
      </c>
      <c r="U1758" s="748" t="str">
        <f t="shared" si="101"/>
        <v/>
      </c>
      <c r="V1758" s="748">
        <f t="shared" si="102"/>
        <v>1</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f t="shared" si="284"/>
        <v>1</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f t="shared" si="127"/>
        <v>708</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f t="shared" si="147"/>
        <v>708</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f t="shared" si="172"/>
        <v>1</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f t="shared" si="202"/>
        <v>1</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f t="shared" si="242"/>
        <v>1</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t="str">
        <f>'Part VI-Revenues &amp; Expenses'!B44</f>
        <v>60% AMI</v>
      </c>
      <c r="C1759" s="748">
        <f>'Part VI-Revenues &amp; Expenses'!C44</f>
        <v>2</v>
      </c>
      <c r="D1759" s="748">
        <f>'Part VI-Revenues &amp; Expenses'!D44</f>
        <v>1</v>
      </c>
      <c r="E1759" s="748">
        <f>'Part VI-Revenues &amp; Expenses'!E44</f>
        <v>4</v>
      </c>
      <c r="F1759" s="748">
        <f>'Part VI-Revenues &amp; Expenses'!F44</f>
        <v>780</v>
      </c>
      <c r="G1759" s="748">
        <f>'Part VI-Revenues &amp; Expenses'!G44</f>
        <v>922</v>
      </c>
      <c r="H1759" s="748">
        <f>'Part VI-Revenues &amp; Expenses'!H44</f>
        <v>1152</v>
      </c>
      <c r="I1759" s="748">
        <f>'Part VI-Revenues &amp; Expenses'!I44</f>
        <v>77</v>
      </c>
      <c r="J1759" s="748" t="str">
        <f>'Part VI-Revenues &amp; Expenses'!J44</f>
        <v>HUD</v>
      </c>
      <c r="K1759" s="748">
        <f t="shared" si="303"/>
        <v>1075</v>
      </c>
      <c r="L1759" s="748">
        <f t="shared" si="99"/>
        <v>4300</v>
      </c>
      <c r="M1759" s="748" t="str">
        <f>'Part VI-Revenues &amp; Expenses'!M44</f>
        <v>No</v>
      </c>
      <c r="N1759" s="748" t="str">
        <f>'Part VI-Revenues &amp; Expenses'!N44</f>
        <v>3+ Story</v>
      </c>
      <c r="O1759" s="748" t="str">
        <f>'Part VI-Revenues &amp; Expenses'!O44</f>
        <v>Acquisition/Rehab</v>
      </c>
      <c r="P1759" s="748">
        <f>'Part VI-Revenues &amp; Expenses'!P44</f>
        <v>46080</v>
      </c>
      <c r="Q1759" s="748">
        <f>'Part VI-Revenues &amp; Expenses'!Q44</f>
        <v>0.71309192200557103</v>
      </c>
      <c r="R1759" s="748">
        <f>'Part VI-Revenues &amp; Expenses'!R44</f>
        <v>0</v>
      </c>
      <c r="T1759" s="748" t="str">
        <f t="shared" si="100"/>
        <v/>
      </c>
      <c r="U1759" s="748" t="str">
        <f t="shared" si="101"/>
        <v/>
      </c>
      <c r="V1759" s="748">
        <f t="shared" si="102"/>
        <v>4</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f t="shared" si="284"/>
        <v>4</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f t="shared" si="127"/>
        <v>3120</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f t="shared" si="147"/>
        <v>3120</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f t="shared" si="172"/>
        <v>4</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f t="shared" si="202"/>
        <v>4</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f t="shared" si="242"/>
        <v>4</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t="str">
        <f>'Part VI-Revenues &amp; Expenses'!B45</f>
        <v>60% AMI</v>
      </c>
      <c r="C1760" s="748">
        <f>'Part VI-Revenues &amp; Expenses'!C45</f>
        <v>2</v>
      </c>
      <c r="D1760" s="748">
        <f>'Part VI-Revenues &amp; Expenses'!D45</f>
        <v>1</v>
      </c>
      <c r="E1760" s="748">
        <f>'Part VI-Revenues &amp; Expenses'!E45</f>
        <v>1</v>
      </c>
      <c r="F1760" s="748">
        <f>'Part VI-Revenues &amp; Expenses'!F45</f>
        <v>783</v>
      </c>
      <c r="G1760" s="748">
        <f>'Part VI-Revenues &amp; Expenses'!G45</f>
        <v>922</v>
      </c>
      <c r="H1760" s="748">
        <f>'Part VI-Revenues &amp; Expenses'!H45</f>
        <v>1152</v>
      </c>
      <c r="I1760" s="748">
        <f>'Part VI-Revenues &amp; Expenses'!I45</f>
        <v>77</v>
      </c>
      <c r="J1760" s="748" t="str">
        <f>'Part VI-Revenues &amp; Expenses'!J45</f>
        <v>HUD</v>
      </c>
      <c r="K1760" s="748">
        <f t="shared" si="303"/>
        <v>1075</v>
      </c>
      <c r="L1760" s="748">
        <f t="shared" si="99"/>
        <v>1075</v>
      </c>
      <c r="M1760" s="748" t="str">
        <f>'Part VI-Revenues &amp; Expenses'!M45</f>
        <v>No</v>
      </c>
      <c r="N1760" s="748" t="str">
        <f>'Part VI-Revenues &amp; Expenses'!N45</f>
        <v>3+ Story</v>
      </c>
      <c r="O1760" s="748" t="str">
        <f>'Part VI-Revenues &amp; Expenses'!O45</f>
        <v>Acquisition/Rehab</v>
      </c>
      <c r="P1760" s="748">
        <f>'Part VI-Revenues &amp; Expenses'!P45</f>
        <v>46080</v>
      </c>
      <c r="Q1760" s="748">
        <f>'Part VI-Revenues &amp; Expenses'!Q45</f>
        <v>0.71309192200557103</v>
      </c>
      <c r="R1760" s="748">
        <f>'Part VI-Revenues &amp; Expenses'!R45</f>
        <v>0</v>
      </c>
      <c r="T1760" s="748" t="str">
        <f t="shared" si="100"/>
        <v/>
      </c>
      <c r="U1760" s="748" t="str">
        <f t="shared" si="101"/>
        <v/>
      </c>
      <c r="V1760" s="748">
        <f t="shared" si="102"/>
        <v>1</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f t="shared" si="284"/>
        <v>1</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f t="shared" si="127"/>
        <v>783</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f t="shared" si="147"/>
        <v>783</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f t="shared" si="172"/>
        <v>1</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f t="shared" si="202"/>
        <v>1</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f t="shared" si="242"/>
        <v>1</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t="str">
        <f>'Part VI-Revenues &amp; Expenses'!B46</f>
        <v>60% AMI</v>
      </c>
      <c r="C1761" s="748">
        <f>'Part VI-Revenues &amp; Expenses'!C46</f>
        <v>2</v>
      </c>
      <c r="D1761" s="748">
        <f>'Part VI-Revenues &amp; Expenses'!D46</f>
        <v>1</v>
      </c>
      <c r="E1761" s="748">
        <f>'Part VI-Revenues &amp; Expenses'!E46</f>
        <v>8</v>
      </c>
      <c r="F1761" s="748">
        <f>'Part VI-Revenues &amp; Expenses'!F46</f>
        <v>794</v>
      </c>
      <c r="G1761" s="748">
        <f>'Part VI-Revenues &amp; Expenses'!G46</f>
        <v>922</v>
      </c>
      <c r="H1761" s="748">
        <f>'Part VI-Revenues &amp; Expenses'!H46</f>
        <v>1152</v>
      </c>
      <c r="I1761" s="748">
        <f>'Part VI-Revenues &amp; Expenses'!I46</f>
        <v>77</v>
      </c>
      <c r="J1761" s="748" t="str">
        <f>'Part VI-Revenues &amp; Expenses'!J46</f>
        <v>HUD</v>
      </c>
      <c r="K1761" s="748">
        <f t="shared" si="303"/>
        <v>1075</v>
      </c>
      <c r="L1761" s="748">
        <f t="shared" si="99"/>
        <v>8600</v>
      </c>
      <c r="M1761" s="748" t="str">
        <f>'Part VI-Revenues &amp; Expenses'!M46</f>
        <v>No</v>
      </c>
      <c r="N1761" s="748" t="str">
        <f>'Part VI-Revenues &amp; Expenses'!N46</f>
        <v>3+ Story</v>
      </c>
      <c r="O1761" s="748" t="str">
        <f>'Part VI-Revenues &amp; Expenses'!O46</f>
        <v>Acquisition/Rehab</v>
      </c>
      <c r="P1761" s="748">
        <f>'Part VI-Revenues &amp; Expenses'!P46</f>
        <v>46080</v>
      </c>
      <c r="Q1761" s="748">
        <f>'Part VI-Revenues &amp; Expenses'!Q46</f>
        <v>0.71309192200557103</v>
      </c>
      <c r="R1761" s="748">
        <f>'Part VI-Revenues &amp; Expenses'!R46</f>
        <v>0</v>
      </c>
      <c r="T1761" s="748" t="str">
        <f t="shared" si="100"/>
        <v/>
      </c>
      <c r="U1761" s="748" t="str">
        <f t="shared" si="101"/>
        <v/>
      </c>
      <c r="V1761" s="748">
        <f t="shared" si="102"/>
        <v>8</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f t="shared" si="284"/>
        <v>8</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f t="shared" si="127"/>
        <v>6352</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f t="shared" si="147"/>
        <v>6352</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f t="shared" si="172"/>
        <v>8</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f t="shared" si="202"/>
        <v>8</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f t="shared" si="242"/>
        <v>8</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t="str">
        <f>'Part VI-Revenues &amp; Expenses'!B47</f>
        <v>N/A-CS</v>
      </c>
      <c r="C1762" s="748">
        <f>'Part VI-Revenues &amp; Expenses'!C47</f>
        <v>1</v>
      </c>
      <c r="D1762" s="748">
        <f>'Part VI-Revenues &amp; Expenses'!D47</f>
        <v>1</v>
      </c>
      <c r="E1762" s="748">
        <f>'Part VI-Revenues &amp; Expenses'!E47</f>
        <v>1</v>
      </c>
      <c r="F1762" s="748">
        <f>'Part VI-Revenues &amp; Expenses'!F47</f>
        <v>0</v>
      </c>
      <c r="G1762" s="748">
        <f>'Part VI-Revenues &amp; Expenses'!G47</f>
        <v>0</v>
      </c>
      <c r="H1762" s="748">
        <f>'Part VI-Revenues &amp; Expenses'!H47</f>
        <v>0</v>
      </c>
      <c r="I1762" s="748">
        <f>'Part VI-Revenues &amp; Expenses'!I47</f>
        <v>0</v>
      </c>
      <c r="J1762" s="748" t="str">
        <f>'Part VI-Revenues &amp; Expenses'!J47</f>
        <v>HUD</v>
      </c>
      <c r="K1762" s="748">
        <f t="shared" si="302"/>
        <v>0</v>
      </c>
      <c r="L1762" s="748">
        <f t="shared" si="99"/>
        <v>0</v>
      </c>
      <c r="M1762" s="748" t="str">
        <f>'Part VI-Revenues &amp; Expenses'!M47</f>
        <v>Common</v>
      </c>
      <c r="N1762" s="748" t="str">
        <f>'Part VI-Revenues &amp; Expenses'!N47</f>
        <v>3+ Story</v>
      </c>
      <c r="O1762" s="748" t="str">
        <f>'Part VI-Revenues &amp; Expenses'!O47</f>
        <v>Acquisition/Rehab</v>
      </c>
      <c r="P1762" s="748">
        <f>'Part VI-Revenues &amp; Expenses'!P47</f>
        <v>0</v>
      </c>
      <c r="Q1762" s="748">
        <f>'Part VI-Revenues &amp; Expenses'!Q47</f>
        <v>0</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f t="shared" si="121"/>
        <v>1</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f t="shared" si="151"/>
        <v>0</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f t="shared" si="181"/>
        <v>1</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f t="shared" si="201"/>
        <v>1</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f t="shared" si="241"/>
        <v>1</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1633</v>
      </c>
      <c r="E1763" s="748">
        <f>SUM(E1725:E1762)</f>
        <v>201</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107522</v>
      </c>
      <c r="K1763" s="748" t="s">
        <v>2001</v>
      </c>
      <c r="L1763" s="748">
        <f>SUM(L1725:L1762)</f>
        <v>186475</v>
      </c>
      <c r="T1763" s="748">
        <f t="shared" ref="T1763:CE1763" si="304">SUM(T1725:T1762)</f>
        <v>75</v>
      </c>
      <c r="U1763" s="748">
        <f t="shared" si="304"/>
        <v>72</v>
      </c>
      <c r="V1763" s="748">
        <f t="shared" si="304"/>
        <v>22</v>
      </c>
      <c r="W1763" s="748">
        <f t="shared" si="304"/>
        <v>0</v>
      </c>
      <c r="X1763" s="748">
        <f t="shared" si="304"/>
        <v>0</v>
      </c>
      <c r="Y1763" s="748">
        <f t="shared" si="304"/>
        <v>14</v>
      </c>
      <c r="Z1763" s="748">
        <f t="shared" si="304"/>
        <v>13</v>
      </c>
      <c r="AA1763" s="748">
        <f t="shared" si="304"/>
        <v>4</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14</v>
      </c>
      <c r="AT1763" s="748">
        <f t="shared" si="304"/>
        <v>13</v>
      </c>
      <c r="AU1763" s="748">
        <f t="shared" si="304"/>
        <v>4</v>
      </c>
      <c r="AV1763" s="748">
        <f t="shared" si="304"/>
        <v>0</v>
      </c>
      <c r="AW1763" s="748">
        <f t="shared" si="304"/>
        <v>0</v>
      </c>
      <c r="AX1763" s="748">
        <f t="shared" si="304"/>
        <v>75</v>
      </c>
      <c r="AY1763" s="748">
        <f t="shared" si="304"/>
        <v>72</v>
      </c>
      <c r="AZ1763" s="748">
        <f t="shared" si="304"/>
        <v>22</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1</v>
      </c>
      <c r="BT1763" s="748">
        <f t="shared" si="304"/>
        <v>0</v>
      </c>
      <c r="BU1763" s="748">
        <f t="shared" si="304"/>
        <v>0</v>
      </c>
      <c r="BV1763" s="748">
        <f t="shared" si="304"/>
        <v>0</v>
      </c>
      <c r="BW1763" s="748">
        <f t="shared" si="304"/>
        <v>29396</v>
      </c>
      <c r="BX1763" s="748">
        <f t="shared" si="304"/>
        <v>44298</v>
      </c>
      <c r="BY1763" s="748">
        <f t="shared" si="304"/>
        <v>16563</v>
      </c>
      <c r="BZ1763" s="748">
        <f t="shared" si="304"/>
        <v>0</v>
      </c>
      <c r="CA1763" s="748">
        <f t="shared" si="304"/>
        <v>0</v>
      </c>
      <c r="CB1763" s="748">
        <f t="shared" si="304"/>
        <v>5782</v>
      </c>
      <c r="CC1763" s="748">
        <f t="shared" si="304"/>
        <v>8363</v>
      </c>
      <c r="CD1763" s="748">
        <f t="shared" si="304"/>
        <v>3120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35178</v>
      </c>
      <c r="CR1763" s="748">
        <f t="shared" si="305"/>
        <v>52661</v>
      </c>
      <c r="CS1763" s="748">
        <f t="shared" si="305"/>
        <v>19683</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89</v>
      </c>
      <c r="DQ1763" s="748">
        <f t="shared" si="305"/>
        <v>85</v>
      </c>
      <c r="DR1763" s="748">
        <f t="shared" si="305"/>
        <v>26</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1</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89</v>
      </c>
      <c r="EU1763" s="748">
        <f t="shared" si="306"/>
        <v>86</v>
      </c>
      <c r="EV1763" s="748">
        <f t="shared" si="306"/>
        <v>26</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89</v>
      </c>
      <c r="GI1763" s="748">
        <f t="shared" si="306"/>
        <v>86</v>
      </c>
      <c r="GJ1763" s="748">
        <f t="shared" si="306"/>
        <v>26</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1395</v>
      </c>
      <c r="L1764" s="748">
        <f>L1763*12</f>
        <v>2237700</v>
      </c>
    </row>
    <row r="1765" spans="1:219" ht="6" customHeight="1"/>
    <row r="1766" spans="1:219" ht="14.45" customHeight="1">
      <c r="A1766" s="748" t="s">
        <v>4123</v>
      </c>
    </row>
    <row r="1767" spans="1:219" ht="14.45" customHeight="1"/>
    <row r="1768" spans="1:219" ht="2.4500000000000002" customHeight="1"/>
    <row r="1769" spans="1:219" ht="14.45" customHeight="1">
      <c r="A1769" s="748" t="s">
        <v>1228</v>
      </c>
      <c r="B1769" s="748" t="s">
        <v>826</v>
      </c>
      <c r="Q1769" s="748" t="str">
        <f>IF(SUM(Q1772:Q1813)&gt;0,"ERROR Between Rent Schedule &amp; Unit Summary:", "")</f>
        <v/>
      </c>
      <c r="R1769" s="748" t="s">
        <v>1228</v>
      </c>
      <c r="S1769" s="748" t="s">
        <v>826</v>
      </c>
    </row>
    <row r="1770" spans="1:219" ht="3" customHeight="1"/>
    <row r="1771" spans="1:219" ht="14.45"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75</v>
      </c>
      <c r="I1772" s="748">
        <f>U1763</f>
        <v>72</v>
      </c>
      <c r="J1772" s="748">
        <f>V1763</f>
        <v>22</v>
      </c>
      <c r="K1772" s="748">
        <f>W1763</f>
        <v>0</v>
      </c>
      <c r="L1772" s="748">
        <f>X1763</f>
        <v>0</v>
      </c>
      <c r="M1772" s="748">
        <f t="shared" ref="M1772:M1778" si="308">SUM(H1772:L1772)</f>
        <v>169</v>
      </c>
      <c r="N1772" s="748" t="s">
        <v>1482</v>
      </c>
      <c r="Q1772" s="748">
        <f t="shared" ref="Q1772:Q1778" si="309">ABS(M1772-AD1772)</f>
        <v>0</v>
      </c>
      <c r="T1772" s="748" t="s">
        <v>1777</v>
      </c>
      <c r="X1772" s="748" t="s">
        <v>1790</v>
      </c>
      <c r="Y1772" s="748">
        <f>T1763</f>
        <v>75</v>
      </c>
      <c r="Z1772" s="748">
        <f>U1763</f>
        <v>72</v>
      </c>
      <c r="AA1772" s="748">
        <f>V1763</f>
        <v>22</v>
      </c>
      <c r="AB1772" s="748">
        <f>W1763</f>
        <v>0</v>
      </c>
      <c r="AC1772" s="748">
        <f>X1763</f>
        <v>0</v>
      </c>
      <c r="AD1772" s="748">
        <f t="shared" ref="AD1772:AD1778" si="310">SUM(Y1772:AC1772)</f>
        <v>169</v>
      </c>
      <c r="AE1772" s="748" t="s">
        <v>1554</v>
      </c>
    </row>
    <row r="1773" spans="1:219" ht="15" customHeight="1">
      <c r="A1773" s="748" t="s">
        <v>652</v>
      </c>
      <c r="G1773" s="748" t="s">
        <v>133</v>
      </c>
      <c r="H1773" s="748">
        <f>Y1763</f>
        <v>14</v>
      </c>
      <c r="I1773" s="748">
        <f>Z1763</f>
        <v>13</v>
      </c>
      <c r="J1773" s="748">
        <f>AA1763</f>
        <v>4</v>
      </c>
      <c r="K1773" s="748">
        <f>AB1763</f>
        <v>0</v>
      </c>
      <c r="L1773" s="748">
        <f>AC1763</f>
        <v>0</v>
      </c>
      <c r="M1773" s="748">
        <f t="shared" si="308"/>
        <v>31</v>
      </c>
      <c r="Q1773" s="748">
        <f t="shared" si="309"/>
        <v>0</v>
      </c>
      <c r="X1773" s="748" t="s">
        <v>133</v>
      </c>
      <c r="Y1773" s="748">
        <f>Y1763</f>
        <v>14</v>
      </c>
      <c r="Z1773" s="748">
        <f>Z1763</f>
        <v>13</v>
      </c>
      <c r="AA1773" s="748">
        <f>AA1763</f>
        <v>4</v>
      </c>
      <c r="AB1773" s="748">
        <f>AB1763</f>
        <v>0</v>
      </c>
      <c r="AC1773" s="748">
        <f>AC1763</f>
        <v>0</v>
      </c>
      <c r="AD1773" s="748">
        <f t="shared" si="310"/>
        <v>31</v>
      </c>
    </row>
    <row r="1774" spans="1:219" ht="15" customHeight="1">
      <c r="G1774" s="748" t="s">
        <v>831</v>
      </c>
      <c r="H1774" s="748">
        <f>SUM(H1772:H1773)</f>
        <v>89</v>
      </c>
      <c r="I1774" s="748">
        <f>SUM(I1772:I1773)</f>
        <v>85</v>
      </c>
      <c r="J1774" s="748">
        <f>SUM(J1772:J1773)</f>
        <v>26</v>
      </c>
      <c r="K1774" s="748">
        <f>SUM(K1772:K1773)</f>
        <v>0</v>
      </c>
      <c r="L1774" s="748">
        <f>SUM(L1772:L1773)</f>
        <v>0</v>
      </c>
      <c r="M1774" s="748">
        <f t="shared" si="308"/>
        <v>200</v>
      </c>
      <c r="Q1774" s="748">
        <f t="shared" si="309"/>
        <v>0</v>
      </c>
      <c r="X1774" s="748" t="s">
        <v>831</v>
      </c>
      <c r="Y1774" s="748">
        <f>SUM(Y1772:Y1773)</f>
        <v>89</v>
      </c>
      <c r="Z1774" s="748">
        <f>SUM(Z1772:Z1773)</f>
        <v>85</v>
      </c>
      <c r="AA1774" s="748">
        <f>SUM(AA1772:AA1773)</f>
        <v>26</v>
      </c>
      <c r="AB1774" s="748">
        <f>SUM(AB1772:AB1773)</f>
        <v>0</v>
      </c>
      <c r="AC1774" s="748">
        <f>SUM(AC1772:AC1773)</f>
        <v>0</v>
      </c>
      <c r="AD1774" s="748">
        <f t="shared" si="310"/>
        <v>200</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89</v>
      </c>
      <c r="I1776" s="748">
        <f>SUM(I1774:I1775)</f>
        <v>85</v>
      </c>
      <c r="J1776" s="748">
        <f>SUM(J1774:J1775)</f>
        <v>26</v>
      </c>
      <c r="K1776" s="748">
        <f>SUM(K1774:K1775)</f>
        <v>0</v>
      </c>
      <c r="L1776" s="748">
        <f>SUM(L1774:L1775)</f>
        <v>0</v>
      </c>
      <c r="M1776" s="748">
        <f t="shared" si="308"/>
        <v>200</v>
      </c>
      <c r="Q1776" s="748">
        <f t="shared" si="309"/>
        <v>0</v>
      </c>
      <c r="T1776" s="748" t="s">
        <v>1778</v>
      </c>
      <c r="Y1776" s="748">
        <f>SUM(Y1774:Y1775)</f>
        <v>89</v>
      </c>
      <c r="Z1776" s="748">
        <f>SUM(Z1774:Z1775)</f>
        <v>85</v>
      </c>
      <c r="AA1776" s="748">
        <f>SUM(AA1774:AA1775)</f>
        <v>26</v>
      </c>
      <c r="AB1776" s="748">
        <f>SUM(AB1774:AB1775)</f>
        <v>0</v>
      </c>
      <c r="AC1776" s="748">
        <f>SUM(AC1774:AC1775)</f>
        <v>0</v>
      </c>
      <c r="AD1776" s="748">
        <f t="shared" si="310"/>
        <v>200</v>
      </c>
    </row>
    <row r="1777" spans="3:31" ht="15" customHeight="1">
      <c r="C1777" s="748" t="s">
        <v>3796</v>
      </c>
      <c r="H1777" s="748">
        <f>BR1763</f>
        <v>0</v>
      </c>
      <c r="I1777" s="748">
        <f>BS1763</f>
        <v>1</v>
      </c>
      <c r="J1777" s="748">
        <f>BT1763</f>
        <v>0</v>
      </c>
      <c r="K1777" s="748">
        <f>BU1763</f>
        <v>0</v>
      </c>
      <c r="L1777" s="748">
        <f>BV1763</f>
        <v>0</v>
      </c>
      <c r="M1777" s="748">
        <f t="shared" si="308"/>
        <v>1</v>
      </c>
      <c r="N1777" s="748" t="s">
        <v>3327</v>
      </c>
      <c r="Q1777" s="748">
        <f t="shared" si="309"/>
        <v>0</v>
      </c>
      <c r="T1777" s="748" t="s">
        <v>3796</v>
      </c>
      <c r="Y1777" s="748">
        <f>BR1763</f>
        <v>0</v>
      </c>
      <c r="Z1777" s="748">
        <f>BS1763</f>
        <v>1</v>
      </c>
      <c r="AA1777" s="748">
        <f>BT1763</f>
        <v>0</v>
      </c>
      <c r="AB1777" s="748">
        <f>BU1763</f>
        <v>0</v>
      </c>
      <c r="AC1777" s="748">
        <f>BV1763</f>
        <v>0</v>
      </c>
      <c r="AD1777" s="748">
        <f t="shared" si="310"/>
        <v>1</v>
      </c>
      <c r="AE1777" s="748" t="s">
        <v>839</v>
      </c>
    </row>
    <row r="1778" spans="3:31" ht="15" customHeight="1">
      <c r="C1778" s="748" t="s">
        <v>831</v>
      </c>
      <c r="H1778" s="748">
        <f>SUM(H1776:H1777)</f>
        <v>89</v>
      </c>
      <c r="I1778" s="748">
        <f>SUM(I1776:I1777)</f>
        <v>86</v>
      </c>
      <c r="J1778" s="748">
        <f>SUM(J1776:J1777)</f>
        <v>26</v>
      </c>
      <c r="K1778" s="748">
        <f>SUM(K1776:K1777)</f>
        <v>0</v>
      </c>
      <c r="L1778" s="748">
        <f>SUM(L1776:L1777)</f>
        <v>0</v>
      </c>
      <c r="M1778" s="748">
        <f t="shared" si="308"/>
        <v>201</v>
      </c>
      <c r="Q1778" s="748">
        <f t="shared" si="309"/>
        <v>0</v>
      </c>
      <c r="T1778" s="748" t="s">
        <v>831</v>
      </c>
      <c r="Y1778" s="748">
        <f>SUM(Y1776:Y1777)</f>
        <v>89</v>
      </c>
      <c r="Z1778" s="748">
        <f>SUM(Z1776:Z1777)</f>
        <v>86</v>
      </c>
      <c r="AA1778" s="748">
        <f>SUM(AA1776:AA1777)</f>
        <v>26</v>
      </c>
      <c r="AB1778" s="748">
        <f>SUM(AB1776:AB1777)</f>
        <v>0</v>
      </c>
      <c r="AC1778" s="748">
        <f>SUM(AC1776:AC1777)</f>
        <v>0</v>
      </c>
      <c r="AD1778" s="748">
        <f t="shared" si="310"/>
        <v>201</v>
      </c>
    </row>
    <row r="1779" spans="3:31" ht="14.45" customHeight="1"/>
    <row r="1780" spans="3:31" ht="15" customHeight="1">
      <c r="C1780" s="748" t="s">
        <v>1528</v>
      </c>
      <c r="G1780" s="748" t="s">
        <v>1790</v>
      </c>
      <c r="H1780" s="748">
        <f>AX1763</f>
        <v>75</v>
      </c>
      <c r="I1780" s="748">
        <f>AY1763</f>
        <v>72</v>
      </c>
      <c r="J1780" s="748">
        <f>AZ1763</f>
        <v>22</v>
      </c>
      <c r="K1780" s="748">
        <f>BA1763</f>
        <v>0</v>
      </c>
      <c r="L1780" s="748">
        <f>BB1763</f>
        <v>0</v>
      </c>
      <c r="M1780" s="748">
        <f>SUM(H1780:L1780)</f>
        <v>169</v>
      </c>
      <c r="Q1780" s="748">
        <f>ABS(M1780-AD1780)</f>
        <v>0</v>
      </c>
      <c r="T1780" s="748" t="s">
        <v>1528</v>
      </c>
      <c r="X1780" s="748" t="s">
        <v>1790</v>
      </c>
      <c r="Y1780" s="748">
        <f>AX1763</f>
        <v>75</v>
      </c>
      <c r="Z1780" s="748">
        <f>AY1763</f>
        <v>72</v>
      </c>
      <c r="AA1780" s="748">
        <f>AZ1763</f>
        <v>22</v>
      </c>
      <c r="AB1780" s="748">
        <f>BA1763</f>
        <v>0</v>
      </c>
      <c r="AC1780" s="748">
        <f>BB1763</f>
        <v>0</v>
      </c>
      <c r="AD1780" s="748">
        <f>SUM(Y1780:AC1780)</f>
        <v>169</v>
      </c>
    </row>
    <row r="1781" spans="3:31" ht="15" customHeight="1">
      <c r="C1781" s="748" t="s">
        <v>3797</v>
      </c>
      <c r="G1781" s="748" t="s">
        <v>133</v>
      </c>
      <c r="H1781" s="748">
        <f>AS1763</f>
        <v>14</v>
      </c>
      <c r="I1781" s="748">
        <f>AT1763</f>
        <v>13</v>
      </c>
      <c r="J1781" s="748">
        <f>AU1763</f>
        <v>4</v>
      </c>
      <c r="K1781" s="748">
        <f>AV1763</f>
        <v>0</v>
      </c>
      <c r="L1781" s="748">
        <f>AW1763</f>
        <v>0</v>
      </c>
      <c r="M1781" s="748">
        <f>SUM(H1781:L1781)</f>
        <v>31</v>
      </c>
      <c r="Q1781" s="748">
        <f>ABS(M1781-AD1781)</f>
        <v>0</v>
      </c>
      <c r="T1781" s="748" t="s">
        <v>3797</v>
      </c>
      <c r="X1781" s="748" t="s">
        <v>133</v>
      </c>
      <c r="Y1781" s="748">
        <f>AS1763</f>
        <v>14</v>
      </c>
      <c r="Z1781" s="748">
        <f>AT1763</f>
        <v>13</v>
      </c>
      <c r="AA1781" s="748">
        <f>AU1763</f>
        <v>4</v>
      </c>
      <c r="AB1781" s="748">
        <f>AV1763</f>
        <v>0</v>
      </c>
      <c r="AC1781" s="748">
        <f>AW1763</f>
        <v>0</v>
      </c>
      <c r="AD1781" s="748">
        <f>SUM(Y1781:AC1781)</f>
        <v>31</v>
      </c>
    </row>
    <row r="1782" spans="3:31" ht="15" customHeight="1">
      <c r="G1782" s="748" t="s">
        <v>831</v>
      </c>
      <c r="H1782" s="748">
        <f>SUM(H1780:H1781)</f>
        <v>89</v>
      </c>
      <c r="I1782" s="748">
        <f>SUM(I1780:I1781)</f>
        <v>85</v>
      </c>
      <c r="J1782" s="748">
        <f>SUM(J1780:J1781)</f>
        <v>26</v>
      </c>
      <c r="K1782" s="748">
        <f>SUM(K1780:K1781)</f>
        <v>0</v>
      </c>
      <c r="L1782" s="748">
        <f>SUM(L1780:L1781)</f>
        <v>0</v>
      </c>
      <c r="M1782" s="748">
        <f>SUM(H1782:L1782)</f>
        <v>200</v>
      </c>
      <c r="Q1782" s="748">
        <f>ABS(M1782-AD1782)</f>
        <v>0</v>
      </c>
      <c r="X1782" s="748" t="s">
        <v>831</v>
      </c>
      <c r="Y1782" s="748">
        <f>SUM(Y1780:Y1781)</f>
        <v>89</v>
      </c>
      <c r="Z1782" s="748">
        <f>SUM(Z1780:Z1781)</f>
        <v>85</v>
      </c>
      <c r="AA1782" s="748">
        <f>SUM(AA1780:AA1781)</f>
        <v>26</v>
      </c>
      <c r="AB1782" s="748">
        <f>SUM(AB1780:AB1781)</f>
        <v>0</v>
      </c>
      <c r="AC1782" s="748">
        <f>SUM(AC1780:AC1781)</f>
        <v>0</v>
      </c>
      <c r="AD1782" s="748">
        <f>SUM(Y1782:AC1782)</f>
        <v>200</v>
      </c>
    </row>
    <row r="1783" spans="3:31" ht="14.45"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3234</v>
      </c>
    </row>
    <row r="1788" spans="3:31" ht="15" customHeight="1">
      <c r="E1788" s="748" t="s">
        <v>3434</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3434</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3236</v>
      </c>
      <c r="G1791" s="748" t="s">
        <v>2153</v>
      </c>
      <c r="H1791" s="748">
        <f>DP1763</f>
        <v>89</v>
      </c>
      <c r="I1791" s="748">
        <f>DQ1763</f>
        <v>85</v>
      </c>
      <c r="J1791" s="748">
        <f>DR1763</f>
        <v>26</v>
      </c>
      <c r="K1791" s="748">
        <f>DS1763</f>
        <v>0</v>
      </c>
      <c r="L1791" s="748">
        <f>DT1763</f>
        <v>0</v>
      </c>
      <c r="M1791" s="748">
        <f t="shared" si="311"/>
        <v>200</v>
      </c>
      <c r="Q1791" s="748">
        <f t="shared" si="312"/>
        <v>0</v>
      </c>
      <c r="V1791" s="748" t="s">
        <v>3236</v>
      </c>
      <c r="X1791" s="748" t="s">
        <v>2153</v>
      </c>
      <c r="Y1791" s="748">
        <f>DP1763</f>
        <v>89</v>
      </c>
      <c r="Z1791" s="748">
        <f>DQ1763</f>
        <v>85</v>
      </c>
      <c r="AA1791" s="748">
        <f>DR1763</f>
        <v>26</v>
      </c>
      <c r="AB1791" s="748">
        <f>DS1763</f>
        <v>0</v>
      </c>
      <c r="AC1791" s="748">
        <f>DT1763</f>
        <v>0</v>
      </c>
      <c r="AD1791" s="748">
        <f t="shared" si="313"/>
        <v>200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89</v>
      </c>
      <c r="I1793" s="748">
        <f>SUM(I1791:I1792)+EA1763</f>
        <v>86</v>
      </c>
      <c r="J1793" s="748">
        <f>SUM(J1791:J1792)+EB1763</f>
        <v>26</v>
      </c>
      <c r="K1793" s="748">
        <f>SUM(K1791:K1792)+EC1763</f>
        <v>0</v>
      </c>
      <c r="L1793" s="748">
        <f>SUM(L1791:L1792)+ED1763</f>
        <v>0</v>
      </c>
      <c r="M1793" s="748">
        <f t="shared" si="311"/>
        <v>201</v>
      </c>
      <c r="Q1793" s="748">
        <f t="shared" si="312"/>
        <v>0</v>
      </c>
      <c r="X1793" s="748" t="s">
        <v>34</v>
      </c>
      <c r="Y1793" s="748">
        <f>SUM(Y1791:Y1792)+DZ1763</f>
        <v>89</v>
      </c>
      <c r="Z1793" s="748">
        <f>SUM(Z1791:Z1792)+EA1763</f>
        <v>86</v>
      </c>
      <c r="AA1793" s="748">
        <f>SUM(AA1791:AA1792)+EB1763</f>
        <v>26</v>
      </c>
      <c r="AB1793" s="748">
        <f>SUM(AB1791:AB1792)+EC1763</f>
        <v>0</v>
      </c>
      <c r="AC1793" s="748">
        <f>SUM(AC1791:AC1792)+ED1763</f>
        <v>0</v>
      </c>
      <c r="AD1793" s="748">
        <f t="shared" si="313"/>
        <v>201</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3140</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89</v>
      </c>
      <c r="I1798" s="748">
        <f>'Part VI-Revenues &amp; Expenses'!I83</f>
        <v>86</v>
      </c>
      <c r="J1798" s="748">
        <f>'Part VI-Revenues &amp; Expenses'!J83</f>
        <v>26</v>
      </c>
      <c r="K1798" s="748">
        <f>'Part VI-Revenues &amp; Expenses'!K83</f>
        <v>0</v>
      </c>
      <c r="L1798" s="748">
        <f>'Part VI-Revenues &amp; Expenses'!L83</f>
        <v>0</v>
      </c>
      <c r="M1798" s="748">
        <f t="shared" si="311"/>
        <v>201</v>
      </c>
    </row>
    <row r="1799" spans="2:30" ht="14.45" customHeight="1">
      <c r="C1799" s="748" t="s">
        <v>45</v>
      </c>
      <c r="T1799" s="748" t="s">
        <v>45</v>
      </c>
    </row>
    <row r="1800" spans="2:30" ht="15" customHeight="1">
      <c r="E1800" s="748" t="s">
        <v>46</v>
      </c>
      <c r="H1800" s="748">
        <f>ET1763</f>
        <v>89</v>
      </c>
      <c r="I1800" s="748">
        <f>EU1763</f>
        <v>86</v>
      </c>
      <c r="J1800" s="748">
        <f>EV1763</f>
        <v>26</v>
      </c>
      <c r="K1800" s="748">
        <f>EW1763</f>
        <v>0</v>
      </c>
      <c r="L1800" s="748">
        <f>EX1763</f>
        <v>0</v>
      </c>
      <c r="M1800" s="748">
        <f>SUM(H1800:L1800)</f>
        <v>201</v>
      </c>
      <c r="Q1800" s="748">
        <f>ABS(M1800-AD1800)</f>
        <v>0</v>
      </c>
      <c r="V1800" s="748" t="s">
        <v>46</v>
      </c>
      <c r="Y1800" s="748">
        <f>ET1763</f>
        <v>89</v>
      </c>
      <c r="Z1800" s="748">
        <f>EU1763</f>
        <v>86</v>
      </c>
      <c r="AA1800" s="748">
        <f>EV1763</f>
        <v>26</v>
      </c>
      <c r="AB1800" s="748">
        <f>EW1763</f>
        <v>0</v>
      </c>
      <c r="AC1800" s="748">
        <f>EX1763</f>
        <v>0</v>
      </c>
      <c r="AD1800" s="748">
        <f>SUM(Y1800:AC1800)</f>
        <v>201</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3268</v>
      </c>
      <c r="S1806" s="748" t="s">
        <v>1776</v>
      </c>
    </row>
    <row r="1807" spans="2:30" ht="15" customHeight="1">
      <c r="C1807" s="748" t="s">
        <v>3235</v>
      </c>
      <c r="G1807" s="748" t="s">
        <v>1790</v>
      </c>
      <c r="H1807" s="748">
        <f>BW1763</f>
        <v>29396</v>
      </c>
      <c r="I1807" s="748">
        <f>BX1763</f>
        <v>44298</v>
      </c>
      <c r="J1807" s="748">
        <f>BY1763</f>
        <v>16563</v>
      </c>
      <c r="K1807" s="748">
        <f>BZ1763</f>
        <v>0</v>
      </c>
      <c r="L1807" s="748">
        <f>CA1763</f>
        <v>0</v>
      </c>
      <c r="M1807" s="748">
        <f t="shared" ref="M1807:M1813" si="314">SUM(H1807:L1807)</f>
        <v>90257</v>
      </c>
      <c r="Q1807" s="748">
        <f t="shared" ref="Q1807:Q1813" si="315">ABS(M1807-AD1807)</f>
        <v>0</v>
      </c>
      <c r="T1807" s="748" t="s">
        <v>3235</v>
      </c>
      <c r="X1807" s="748" t="s">
        <v>1790</v>
      </c>
      <c r="Y1807" s="748">
        <f>BW1763</f>
        <v>29396</v>
      </c>
      <c r="Z1807" s="748">
        <f>BX1763</f>
        <v>44298</v>
      </c>
      <c r="AA1807" s="748">
        <f>BY1763</f>
        <v>16563</v>
      </c>
      <c r="AB1807" s="748">
        <f>BZ1763</f>
        <v>0</v>
      </c>
      <c r="AC1807" s="748">
        <f>CA1763</f>
        <v>0</v>
      </c>
      <c r="AD1807" s="748">
        <f t="shared" ref="AD1807:AD1813" si="316">SUM(Y1807:AC1807)</f>
        <v>90257</v>
      </c>
    </row>
    <row r="1808" spans="2:30" ht="15" customHeight="1">
      <c r="G1808" s="748" t="s">
        <v>133</v>
      </c>
      <c r="H1808" s="748">
        <f>CB1763</f>
        <v>5782</v>
      </c>
      <c r="I1808" s="748">
        <f>CC1763</f>
        <v>8363</v>
      </c>
      <c r="J1808" s="748">
        <f>CD1763</f>
        <v>3120</v>
      </c>
      <c r="K1808" s="748">
        <f>CE1763</f>
        <v>0</v>
      </c>
      <c r="L1808" s="748">
        <f>CF1763</f>
        <v>0</v>
      </c>
      <c r="M1808" s="748">
        <f t="shared" si="314"/>
        <v>17265</v>
      </c>
      <c r="Q1808" s="748">
        <f t="shared" si="315"/>
        <v>0</v>
      </c>
      <c r="X1808" s="748" t="s">
        <v>133</v>
      </c>
      <c r="Y1808" s="748">
        <f>CB1763</f>
        <v>5782</v>
      </c>
      <c r="Z1808" s="748">
        <f>CC1763</f>
        <v>8363</v>
      </c>
      <c r="AA1808" s="748">
        <f>CD1763</f>
        <v>3120</v>
      </c>
      <c r="AB1808" s="748">
        <f>CE1763</f>
        <v>0</v>
      </c>
      <c r="AC1808" s="748">
        <f>CF1763</f>
        <v>0</v>
      </c>
      <c r="AD1808" s="748">
        <f t="shared" si="316"/>
        <v>17265</v>
      </c>
    </row>
    <row r="1809" spans="1:30" ht="15" customHeight="1">
      <c r="G1809" s="748" t="s">
        <v>831</v>
      </c>
      <c r="H1809" s="748">
        <f>SUM(H1807:H1808)</f>
        <v>35178</v>
      </c>
      <c r="I1809" s="748">
        <f>SUM(I1807:I1808)</f>
        <v>52661</v>
      </c>
      <c r="J1809" s="748">
        <f>SUM(J1807:J1808)</f>
        <v>19683</v>
      </c>
      <c r="K1809" s="748">
        <f>SUM(K1807:K1808)</f>
        <v>0</v>
      </c>
      <c r="L1809" s="748">
        <f>SUM(L1807:L1808)</f>
        <v>0</v>
      </c>
      <c r="M1809" s="748">
        <f t="shared" si="314"/>
        <v>107522</v>
      </c>
      <c r="Q1809" s="748">
        <f t="shared" si="315"/>
        <v>0</v>
      </c>
      <c r="X1809" s="748" t="s">
        <v>831</v>
      </c>
      <c r="Y1809" s="748">
        <f>SUM(Y1807:Y1808)</f>
        <v>35178</v>
      </c>
      <c r="Z1809" s="748">
        <f>SUM(Z1807:Z1808)</f>
        <v>52661</v>
      </c>
      <c r="AA1809" s="748">
        <f>SUM(AA1807:AA1808)</f>
        <v>19683</v>
      </c>
      <c r="AB1809" s="748">
        <f>SUM(AB1807:AB1808)</f>
        <v>0</v>
      </c>
      <c r="AC1809" s="748">
        <f>SUM(AC1807:AC1808)</f>
        <v>0</v>
      </c>
      <c r="AD1809" s="748">
        <f t="shared" si="316"/>
        <v>107522</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35178</v>
      </c>
      <c r="I1811" s="748">
        <f>SUM(I1809:I1810)</f>
        <v>52661</v>
      </c>
      <c r="J1811" s="748">
        <f>SUM(J1809:J1810)</f>
        <v>19683</v>
      </c>
      <c r="K1811" s="748">
        <f>SUM(K1809:K1810)</f>
        <v>0</v>
      </c>
      <c r="L1811" s="748">
        <f>SUM(L1809:L1810)</f>
        <v>0</v>
      </c>
      <c r="M1811" s="748">
        <f t="shared" si="314"/>
        <v>107522</v>
      </c>
      <c r="Q1811" s="748">
        <f t="shared" si="315"/>
        <v>0</v>
      </c>
      <c r="T1811" s="748" t="s">
        <v>1778</v>
      </c>
      <c r="Y1811" s="748">
        <f>SUM(Y1809:Y1810)</f>
        <v>35178</v>
      </c>
      <c r="Z1811" s="748">
        <f>SUM(Z1809:Z1810)</f>
        <v>52661</v>
      </c>
      <c r="AA1811" s="748">
        <f>SUM(AA1809:AA1810)</f>
        <v>19683</v>
      </c>
      <c r="AB1811" s="748">
        <f>SUM(AB1809:AB1810)</f>
        <v>0</v>
      </c>
      <c r="AC1811" s="748">
        <f>SUM(AC1809:AC1810)</f>
        <v>0</v>
      </c>
      <c r="AD1811" s="748">
        <f t="shared" si="316"/>
        <v>107522</v>
      </c>
    </row>
    <row r="1812" spans="1:30" ht="15" customHeight="1">
      <c r="C1812" s="748" t="s">
        <v>3796</v>
      </c>
      <c r="H1812" s="748">
        <f>CV1763</f>
        <v>0</v>
      </c>
      <c r="I1812" s="748">
        <f>CW1763</f>
        <v>0</v>
      </c>
      <c r="J1812" s="748">
        <f>CX1763</f>
        <v>0</v>
      </c>
      <c r="K1812" s="748">
        <f>CY1763</f>
        <v>0</v>
      </c>
      <c r="L1812" s="748">
        <f>CZ1763</f>
        <v>0</v>
      </c>
      <c r="M1812" s="748">
        <f t="shared" si="314"/>
        <v>0</v>
      </c>
      <c r="Q1812" s="748">
        <f t="shared" si="315"/>
        <v>0</v>
      </c>
      <c r="T1812" s="748" t="s">
        <v>3796</v>
      </c>
      <c r="Y1812" s="748">
        <f>CV1763</f>
        <v>0</v>
      </c>
      <c r="Z1812" s="748">
        <f>CW1763</f>
        <v>0</v>
      </c>
      <c r="AA1812" s="748">
        <f>CX1763</f>
        <v>0</v>
      </c>
      <c r="AB1812" s="748">
        <f>CY1763</f>
        <v>0</v>
      </c>
      <c r="AC1812" s="748">
        <f>CZ1763</f>
        <v>0</v>
      </c>
      <c r="AD1812" s="748">
        <f t="shared" si="316"/>
        <v>0</v>
      </c>
    </row>
    <row r="1813" spans="1:30" ht="15" customHeight="1">
      <c r="C1813" s="748" t="s">
        <v>831</v>
      </c>
      <c r="H1813" s="748">
        <f>SUM(H1811:H1812)</f>
        <v>35178</v>
      </c>
      <c r="I1813" s="748">
        <f>SUM(I1811:I1812)</f>
        <v>52661</v>
      </c>
      <c r="J1813" s="748">
        <f>SUM(J1811:J1812)</f>
        <v>19683</v>
      </c>
      <c r="K1813" s="748">
        <f>SUM(K1811:K1812)</f>
        <v>0</v>
      </c>
      <c r="L1813" s="748">
        <f>SUM(L1811:L1812)</f>
        <v>0</v>
      </c>
      <c r="M1813" s="748">
        <f t="shared" si="314"/>
        <v>107522</v>
      </c>
      <c r="Q1813" s="748">
        <f t="shared" si="315"/>
        <v>0</v>
      </c>
      <c r="T1813" s="748" t="s">
        <v>831</v>
      </c>
      <c r="Y1813" s="748">
        <f>SUM(Y1811:Y1812)</f>
        <v>35178</v>
      </c>
      <c r="Z1813" s="748">
        <f>SUM(Z1811:Z1812)</f>
        <v>52661</v>
      </c>
      <c r="AA1813" s="748">
        <f>SUM(AA1811:AA1812)</f>
        <v>19683</v>
      </c>
      <c r="AB1813" s="748">
        <f>SUM(AB1811:AB1812)</f>
        <v>0</v>
      </c>
      <c r="AC1813" s="748">
        <f>SUM(AC1811:AC1812)</f>
        <v>0</v>
      </c>
      <c r="AD1813" s="748">
        <f t="shared" si="316"/>
        <v>107522</v>
      </c>
    </row>
    <row r="1814" spans="1:30" ht="4.9000000000000004" customHeight="1"/>
    <row r="1815" spans="1:30" ht="13.9" customHeight="1">
      <c r="A1815" s="748" t="s">
        <v>1230</v>
      </c>
      <c r="B1815" s="748" t="s">
        <v>4124</v>
      </c>
    </row>
    <row r="1816" spans="1:30" ht="9" customHeight="1"/>
    <row r="1817" spans="1:30" ht="12.6" customHeight="1">
      <c r="B1817" s="748" t="s">
        <v>1631</v>
      </c>
      <c r="G1817" s="748">
        <f>0.02*L1764</f>
        <v>44754</v>
      </c>
      <c r="I1817" s="748" t="s">
        <v>3751</v>
      </c>
    </row>
    <row r="1818" spans="1:30" ht="15" customHeight="1"/>
    <row r="1819" spans="1:30" ht="13.9" customHeight="1">
      <c r="B1819" s="748" t="s">
        <v>2168</v>
      </c>
    </row>
    <row r="1820" spans="1:30" ht="15" customHeight="1"/>
    <row r="1821" spans="1:30" ht="13.9"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1522</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4125</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4126</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1522</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4125</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4126</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4125</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4126</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2822</v>
      </c>
      <c r="B1854" s="748" t="s">
        <v>1634</v>
      </c>
    </row>
    <row r="1855" spans="1:16" ht="9" customHeight="1"/>
    <row r="1856" spans="1:16" ht="13.15" customHeight="1">
      <c r="B1856" s="748" t="s">
        <v>1989</v>
      </c>
      <c r="I1856" s="748" t="s">
        <v>2078</v>
      </c>
      <c r="N1856" s="748" t="s">
        <v>2077</v>
      </c>
    </row>
    <row r="1857" spans="2:16" ht="15.6" customHeight="1">
      <c r="B1857" s="748" t="s">
        <v>3302</v>
      </c>
      <c r="F1857" s="748">
        <f>'Part VI-Revenues &amp; Expenses'!F142</f>
        <v>104816</v>
      </c>
      <c r="I1857" s="748" t="s">
        <v>2079</v>
      </c>
      <c r="K1857" s="748">
        <f>'Part VI-Revenues &amp; Expenses'!K142</f>
        <v>0</v>
      </c>
      <c r="N1857" s="748" t="s">
        <v>1523</v>
      </c>
      <c r="P1857" s="748">
        <f>'Part VI-Revenues &amp; Expenses'!P142</f>
        <v>243483</v>
      </c>
    </row>
    <row r="1858" spans="2:16" ht="15.6" customHeight="1">
      <c r="B1858" s="748" t="s">
        <v>2068</v>
      </c>
      <c r="F1858" s="748">
        <f>'Part VI-Revenues &amp; Expenses'!F143</f>
        <v>133704</v>
      </c>
      <c r="I1858" s="748" t="s">
        <v>2080</v>
      </c>
      <c r="K1858" s="748">
        <f>'Part VI-Revenues &amp; Expenses'!K143</f>
        <v>0</v>
      </c>
      <c r="N1858" s="748" t="s">
        <v>200</v>
      </c>
      <c r="P1858" s="748">
        <f>'Part VI-Revenues &amp; Expenses'!P143</f>
        <v>57455</v>
      </c>
    </row>
    <row r="1859" spans="2:16" ht="15.6" customHeight="1">
      <c r="B1859" s="748" t="s">
        <v>1915</v>
      </c>
      <c r="F1859" s="748">
        <f>'Part VI-Revenues &amp; Expenses'!F144</f>
        <v>60500</v>
      </c>
      <c r="J1859" s="748" t="s">
        <v>249</v>
      </c>
      <c r="K1859" s="748">
        <f>SUM(K1857:L1858)</f>
        <v>0</v>
      </c>
      <c r="N1859" s="748" t="str">
        <f>'Part VI-Revenues &amp; Expenses'!N144</f>
        <v>Misc. Taxes</v>
      </c>
      <c r="P1859" s="748">
        <f>'Part VI-Revenues &amp; Expenses'!P144</f>
        <v>501</v>
      </c>
    </row>
    <row r="1860" spans="2:16" ht="15.6" customHeight="1">
      <c r="B1860" s="748" t="str">
        <f>'Part VI-Revenues &amp; Expenses'!B145</f>
        <v xml:space="preserve">Payroll Taxes </v>
      </c>
      <c r="F1860" s="748">
        <f>'Part VI-Revenues &amp; Expenses'!F145</f>
        <v>15751</v>
      </c>
      <c r="N1860" s="748" t="s">
        <v>249</v>
      </c>
      <c r="P1860" s="748">
        <f>SUM(P1857:P1859)</f>
        <v>301439</v>
      </c>
    </row>
    <row r="1861" spans="2:16" ht="15.6" customHeight="1">
      <c r="C1861" s="748" t="s">
        <v>249</v>
      </c>
      <c r="F1861" s="748">
        <f>SUM(F1857:G1860)</f>
        <v>314771</v>
      </c>
    </row>
    <row r="1862" spans="2:16" ht="9" customHeight="1"/>
    <row r="1863" spans="2:16" ht="13.15" customHeight="1">
      <c r="B1863" s="748" t="s">
        <v>1990</v>
      </c>
      <c r="I1863" s="748" t="s">
        <v>1991</v>
      </c>
      <c r="N1863" s="748" t="s">
        <v>2081</v>
      </c>
      <c r="P1863" s="748">
        <f>IF(OR('Part VII-Pro Forma'!$B$20 = "Choose Mgt Fee",'Part VII-Pro Forma'!$B$20 = "Choose One!"), 0,- 'Part VII-Pro Forma'!$B$20)</f>
        <v>106134</v>
      </c>
    </row>
    <row r="1864" spans="2:16" ht="15.6" customHeight="1">
      <c r="B1864" s="748" t="s">
        <v>2073</v>
      </c>
      <c r="F1864" s="748">
        <f>'Part VI-Revenues &amp; Expenses'!F149</f>
        <v>29857</v>
      </c>
      <c r="I1864" s="748" t="s">
        <v>2363</v>
      </c>
      <c r="K1864" s="748">
        <f>'Part VI-Revenues &amp; Expenses'!K149</f>
        <v>7500</v>
      </c>
      <c r="N1864" s="748">
        <f>+P1863/(M1778*0.93)</f>
        <v>567.77403306050394</v>
      </c>
      <c r="O1864" s="748" t="s">
        <v>3861</v>
      </c>
    </row>
    <row r="1865" spans="2:16" ht="15.6" customHeight="1">
      <c r="B1865" s="748" t="s">
        <v>2074</v>
      </c>
      <c r="F1865" s="748">
        <f>'Part VI-Revenues &amp; Expenses'!F150</f>
        <v>0</v>
      </c>
      <c r="I1865" s="748" t="s">
        <v>3139</v>
      </c>
      <c r="K1865" s="748">
        <f>'Part VI-Revenues &amp; Expenses'!K150</f>
        <v>9000</v>
      </c>
      <c r="N1865" s="748">
        <f>+P1863/(M1778*0.93)/12</f>
        <v>47.314502755041993</v>
      </c>
      <c r="O1865" s="748" t="s">
        <v>3862</v>
      </c>
    </row>
    <row r="1866" spans="2:16" ht="15.6" customHeight="1">
      <c r="B1866" s="748" t="s">
        <v>2075</v>
      </c>
      <c r="F1866" s="748">
        <f>'Part VI-Revenues &amp; Expenses'!F151</f>
        <v>0</v>
      </c>
      <c r="I1866" s="748" t="s">
        <v>2364</v>
      </c>
      <c r="K1866" s="748">
        <f>'Part VI-Revenues &amp; Expenses'!K151</f>
        <v>0</v>
      </c>
    </row>
    <row r="1867" spans="2:16" ht="15.6" customHeight="1">
      <c r="B1867" s="748" t="s">
        <v>3487</v>
      </c>
      <c r="F1867" s="748">
        <f>'Part VI-Revenues &amp; Expenses'!F152</f>
        <v>0</v>
      </c>
      <c r="I1867" s="748" t="str">
        <f>'Part VI-Revenues &amp; Expenses'!I152</f>
        <v>ADA HOB Asset Mgmt Fee</v>
      </c>
      <c r="K1867" s="748">
        <f>'Part VI-Revenues &amp; Expenses'!K152</f>
        <v>2000</v>
      </c>
      <c r="N1867" s="748" t="s">
        <v>3731</v>
      </c>
    </row>
    <row r="1868" spans="2:16" ht="15.6" customHeight="1">
      <c r="B1868" s="748" t="s">
        <v>2361</v>
      </c>
      <c r="F1868" s="748">
        <f>'Part VI-Revenues &amp; Expenses'!F153</f>
        <v>0</v>
      </c>
      <c r="J1868" s="748" t="s">
        <v>249</v>
      </c>
      <c r="K1868" s="748">
        <f>SUM(K1864:K1867)</f>
        <v>18500</v>
      </c>
    </row>
    <row r="1869" spans="2:16" ht="15.6" customHeight="1">
      <c r="B1869" s="748" t="str">
        <f>'Part VI-Revenues &amp; Expenses'!B154</f>
        <v>Miscellaneous Admin</v>
      </c>
      <c r="F1869" s="748">
        <f>'Part VI-Revenues &amp; Expenses'!F154</f>
        <v>11500</v>
      </c>
    </row>
    <row r="1870" spans="2:16" ht="15.6" customHeight="1">
      <c r="C1870" s="748" t="s">
        <v>249</v>
      </c>
      <c r="F1870" s="748">
        <f>SUM(F1864:G1869)</f>
        <v>41357</v>
      </c>
    </row>
    <row r="1871" spans="2:16" ht="9" customHeight="1"/>
    <row r="1872" spans="2:16" ht="13.15" customHeight="1">
      <c r="B1872" s="748" t="s">
        <v>1992</v>
      </c>
      <c r="I1872" s="748" t="s">
        <v>2076</v>
      </c>
      <c r="J1872" s="748" t="s">
        <v>3553</v>
      </c>
      <c r="N1872" s="748" t="s">
        <v>3292</v>
      </c>
    </row>
    <row r="1873" spans="1:16" ht="15.6" customHeight="1">
      <c r="B1873" s="748" t="s">
        <v>2365</v>
      </c>
      <c r="F1873" s="748">
        <f>'Part VI-Revenues &amp; Expenses'!F158</f>
        <v>16762</v>
      </c>
      <c r="I1873" s="748" t="s">
        <v>2069</v>
      </c>
      <c r="J1873" s="748" t="e">
        <f>K1873/12/$M$63</f>
        <v>#DIV/0!</v>
      </c>
      <c r="K1873" s="748">
        <f>'Part VI-Revenues &amp; Expenses'!K158</f>
        <v>118000</v>
      </c>
      <c r="N1873" s="748" t="e">
        <f>+$P$158/$M$63</f>
        <v>#DIV/0!</v>
      </c>
      <c r="O1873" s="748" t="s">
        <v>2109</v>
      </c>
      <c r="P1873" s="748">
        <f>F1861+F1870+F1881+K1859+K1868+K1878+P1860+P1863</f>
        <v>1146718</v>
      </c>
    </row>
    <row r="1874" spans="1:16" ht="15.6" customHeight="1">
      <c r="B1874" s="748" t="s">
        <v>2366</v>
      </c>
      <c r="F1874" s="748">
        <f>'Part VI-Revenues &amp; Expenses'!F159</f>
        <v>20000</v>
      </c>
      <c r="I1874" s="748" t="s">
        <v>2070</v>
      </c>
      <c r="J1874" s="748" t="e">
        <f>K1874/12/$M$63</f>
        <v>#DIV/0!</v>
      </c>
      <c r="K1874" s="748">
        <f>'Part VI-Revenues &amp; Expenses'!K159</f>
        <v>29000</v>
      </c>
    </row>
    <row r="1875" spans="1:16" ht="15.6" customHeight="1">
      <c r="B1875" s="748" t="s">
        <v>2367</v>
      </c>
      <c r="F1875" s="748">
        <f>'Part VI-Revenues &amp; Expenses'!F160</f>
        <v>8000</v>
      </c>
      <c r="I1875" s="748" t="s">
        <v>3552</v>
      </c>
      <c r="J1875" s="748" t="e">
        <f>K1875/12/$M$63</f>
        <v>#DIV/0!</v>
      </c>
      <c r="K1875" s="748">
        <f>'Part VI-Revenues &amp; Expenses'!K160</f>
        <v>128000</v>
      </c>
    </row>
    <row r="1876" spans="1:16" ht="15.6" customHeight="1">
      <c r="B1876" s="748" t="s">
        <v>1615</v>
      </c>
      <c r="F1876" s="748">
        <f>'Part VI-Revenues &amp; Expenses'!F161</f>
        <v>10000</v>
      </c>
      <c r="I1876" s="748" t="s">
        <v>2072</v>
      </c>
      <c r="K1876" s="748">
        <f>'Part VI-Revenues &amp; Expenses'!K161</f>
        <v>22755</v>
      </c>
      <c r="N1876" s="748" t="s">
        <v>1921</v>
      </c>
      <c r="P1876" s="748">
        <f>P1877*M1778</f>
        <v>84420</v>
      </c>
    </row>
    <row r="1877" spans="1:16" ht="15.6" customHeight="1">
      <c r="B1877" s="748" t="s">
        <v>1616</v>
      </c>
      <c r="F1877" s="748">
        <f>'Part VI-Revenues &amp; Expenses'!F162</f>
        <v>0</v>
      </c>
      <c r="I1877" s="748" t="str">
        <f>'Part VI-Revenues &amp; Expenses'!I162</f>
        <v>Other (describe here)</v>
      </c>
      <c r="K1877" s="748">
        <f>'Part VI-Revenues &amp; Expenses'!K162</f>
        <v>0</v>
      </c>
      <c r="N1877" s="748" t="s">
        <v>679</v>
      </c>
      <c r="P1877" s="748">
        <f>'Part VI-Revenues &amp; Expenses'!P162</f>
        <v>420</v>
      </c>
    </row>
    <row r="1878" spans="1:16" ht="15.6" customHeight="1">
      <c r="B1878" s="748" t="s">
        <v>1617</v>
      </c>
      <c r="F1878" s="748">
        <f>'Part VI-Revenues &amp; Expenses'!F163</f>
        <v>12000</v>
      </c>
      <c r="J1878" s="748" t="s">
        <v>249</v>
      </c>
      <c r="K1878" s="748">
        <f>SUM(K1873:K1877)</f>
        <v>297755</v>
      </c>
    </row>
    <row r="1879" spans="1:16" ht="15.6" customHeight="1">
      <c r="B1879" s="748" t="s">
        <v>1457</v>
      </c>
      <c r="F1879" s="748">
        <f>'Part VI-Revenues &amp; Expenses'!F164</f>
        <v>0</v>
      </c>
    </row>
    <row r="1880" spans="1:16" ht="15.6" customHeight="1">
      <c r="B1880" s="748" t="str">
        <f>'Part VI-Revenues &amp; Expenses'!B165</f>
        <v>Other (describe here)</v>
      </c>
      <c r="F1880" s="748">
        <f>'Part VI-Revenues &amp; Expenses'!F165</f>
        <v>0</v>
      </c>
      <c r="N1880" s="748" t="s">
        <v>3293</v>
      </c>
    </row>
    <row r="1881" spans="1:16" ht="15.6" customHeight="1">
      <c r="C1881" s="748" t="s">
        <v>249</v>
      </c>
      <c r="F1881" s="748">
        <f>SUM(F1873:G1880)</f>
        <v>66762</v>
      </c>
      <c r="P1881" s="748">
        <f>P1873+P1876</f>
        <v>1231138</v>
      </c>
    </row>
    <row r="1882" spans="1:16" ht="10.9" customHeight="1"/>
    <row r="1883" spans="1:16" ht="12" customHeight="1">
      <c r="A1883" s="748" t="s">
        <v>2824</v>
      </c>
      <c r="B1883" s="748" t="s">
        <v>878</v>
      </c>
      <c r="K1883" s="748" t="s">
        <v>821</v>
      </c>
      <c r="L1883" s="748" t="s">
        <v>2896</v>
      </c>
    </row>
    <row r="1884" spans="1:16" ht="51.6" customHeight="1">
      <c r="A1884" s="748" t="str">
        <f>'Part VI-Revenues &amp; Expenses'!A169</f>
        <v xml:space="preserve">An estimate of the Real Estate Taxes and an Insurance Quote are included under Tab 8-A.  </v>
      </c>
      <c r="K1884" s="748">
        <f>'Part VI-Revenues &amp; Expenses'!K169</f>
        <v>0</v>
      </c>
    </row>
    <row r="1885" spans="1:16" ht="51.6" customHeight="1">
      <c r="A1885" s="748" t="str">
        <f>'Part VI-Revenues &amp; Expenses'!A170</f>
        <v xml:space="preserve">Miscellaneous Administrative Costs include:                                                                                                                                                                                            A.)  Boston Post Computer Fee: $4,000                                                                                                                                                                         B.)  Annual Staff Training:  $3,500                                                                                                                                                                                           C.)  Office Equipment Maintenance (computer, copy/fax, etc.): $2,750                                                                                                                          D.)   Computer software upgrades:  $1,250                                                                                                         </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2011-015 Briarcliff Summit Apartments , ,  County</v>
      </c>
    </row>
    <row r="1891" spans="1:11">
      <c r="A1891" s="748" t="s">
        <v>100</v>
      </c>
      <c r="D1891" s="748" t="s">
        <v>90</v>
      </c>
      <c r="F1891" s="748" t="s">
        <v>4127</v>
      </c>
    </row>
    <row r="1893" spans="1:11">
      <c r="A1893" s="748" t="s">
        <v>3294</v>
      </c>
      <c r="B1893" s="748">
        <v>0.02</v>
      </c>
      <c r="D1893" s="748" t="s">
        <v>1364</v>
      </c>
      <c r="G1893" s="748">
        <f>'Part VII-Pro Forma'!G5</f>
        <v>10000</v>
      </c>
      <c r="H1893" s="748" t="s">
        <v>2970</v>
      </c>
      <c r="K1893" s="748" t="str">
        <f>IF(($B$14+$B$15+$B$16+$B$17)=0,"",-B1918/($B$14+$B$15+$B$16+$B$17))</f>
        <v/>
      </c>
    </row>
    <row r="1894" spans="1:11">
      <c r="A1894" s="748" t="s">
        <v>3295</v>
      </c>
      <c r="B1894" s="748">
        <v>0.03</v>
      </c>
      <c r="D1894" s="748" t="s">
        <v>1365</v>
      </c>
      <c r="G1894" s="748">
        <f>'Part VII-Pro Forma'!G6</f>
        <v>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t="str">
        <f>'Part VII-Pro Forma'!G8</f>
        <v>No</v>
      </c>
      <c r="H1896" s="748" t="s">
        <v>2167</v>
      </c>
      <c r="K1896" s="748">
        <f>'Part VII-Pro Forma'!K8</f>
        <v>0</v>
      </c>
    </row>
    <row r="1897" spans="1:11">
      <c r="A1897" s="748" t="s">
        <v>2128</v>
      </c>
      <c r="B1897" s="748">
        <v>0.02</v>
      </c>
      <c r="D1897" s="748" t="s">
        <v>2742</v>
      </c>
      <c r="G1897" s="748" t="str">
        <f>'Part VII-Pro Forma'!G9</f>
        <v>Yes</v>
      </c>
      <c r="H1897" s="748" t="s">
        <v>3560</v>
      </c>
      <c r="K1897" s="748">
        <f>'Part VII-Pro Forma'!K9</f>
        <v>0.05</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-486766.28439441242</v>
      </c>
      <c r="C1911" s="748">
        <f>IF('Part III A-Sources of Funds'!$M$32="", 0,-'Part III A-Sources of Funds'!$M$32)</f>
        <v>-486766.28439441242</v>
      </c>
      <c r="D1911" s="748">
        <f>IF('Part III A-Sources of Funds'!$M$32="", 0,-'Part III A-Sources of Funds'!$M$32)</f>
        <v>-486766.28439441242</v>
      </c>
      <c r="E1911" s="748">
        <f>IF('Part III A-Sources of Funds'!$M$32="", 0,-'Part III A-Sources of Funds'!$M$32)</f>
        <v>-486766.28439441242</v>
      </c>
      <c r="F1911" s="748">
        <f>IF('Part III A-Sources of Funds'!$M$32="", 0,-'Part III A-Sources of Funds'!$M$32)</f>
        <v>-486766.28439441242</v>
      </c>
      <c r="G1911" s="748">
        <f>IF('Part III A-Sources of Funds'!$M$32="", 0,-'Part III A-Sources of Funds'!$M$32)</f>
        <v>-486766.28439441242</v>
      </c>
      <c r="H1911" s="748">
        <f>IF('Part III A-Sources of Funds'!$M$32="", 0,-'Part III A-Sources of Funds'!$M$32)</f>
        <v>-486766.28439441242</v>
      </c>
      <c r="I1911" s="748">
        <f>IF('Part III A-Sources of Funds'!$M$32="", 0,-'Part III A-Sources of Funds'!$M$32)</f>
        <v>-486766.28439441242</v>
      </c>
      <c r="J1911" s="748">
        <f>IF('Part III A-Sources of Funds'!$M$32="", 0,-'Part III A-Sources of Funds'!$M$32)</f>
        <v>-486766.28439441242</v>
      </c>
      <c r="K1911" s="748">
        <f>IF('Part III A-Sources of Funds'!$M$32="", 0,-'Part III A-Sources of Funds'!$M$32)</f>
        <v>-486766.28439441242</v>
      </c>
    </row>
    <row r="1912" spans="1:11">
      <c r="A1912" s="748" t="str">
        <f>IF('Part III A-Sources of Funds'!$E$32="USDA 538 Loan","USDA Guaranty Fee",IF('Part III A-Sources of Funds'!$E$32="HUD Insured Loan", "HUD MIP",""))</f>
        <v>HUD MIP</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1361</v>
      </c>
      <c r="B1915" s="748">
        <f>'Part VII-Pro Forma'!B27</f>
        <v>-54508.615045712293</v>
      </c>
      <c r="C1915" s="748">
        <f>'Part VII-Pro Forma'!C27</f>
        <v>-54508.615045712293</v>
      </c>
      <c r="D1915" s="748">
        <f>'Part VII-Pro Forma'!D27</f>
        <v>-54508.615045712293</v>
      </c>
      <c r="E1915" s="748">
        <f>'Part VII-Pro Forma'!E27</f>
        <v>-54508.615045712293</v>
      </c>
      <c r="F1915" s="748">
        <f>'Part VII-Pro Forma'!F27</f>
        <v>-54508.615045712293</v>
      </c>
      <c r="G1915" s="748">
        <f>'Part VII-Pro Forma'!G27</f>
        <v>-54508.615045712293</v>
      </c>
      <c r="H1915" s="748">
        <f>'Part VII-Pro Forma'!H27</f>
        <v>-54508.615045712293</v>
      </c>
      <c r="I1915" s="748">
        <f>'Part VII-Pro Forma'!I27</f>
        <v>-54508.615045712293</v>
      </c>
      <c r="J1915" s="748">
        <f>'Part VII-Pro Forma'!J27</f>
        <v>-54508.615045712293</v>
      </c>
      <c r="K1915" s="748">
        <f>'Part VII-Pro Forma'!K27</f>
        <v>-54508.615045712293</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-10000</v>
      </c>
      <c r="C1918" s="748">
        <f>'Part VII-Pro Forma'!C30</f>
        <v>-10300</v>
      </c>
      <c r="D1918" s="748">
        <f>'Part VII-Pro Forma'!D30</f>
        <v>-10609</v>
      </c>
      <c r="E1918" s="748">
        <f>'Part VII-Pro Forma'!E30</f>
        <v>-10927.27</v>
      </c>
      <c r="F1918" s="748">
        <f>'Part VII-Pro Forma'!F30</f>
        <v>-11255.088100000001</v>
      </c>
      <c r="G1918" s="748">
        <f>'Part VII-Pro Forma'!G30</f>
        <v>-11592.740743</v>
      </c>
      <c r="H1918" s="748">
        <f>'Part VII-Pro Forma'!H30</f>
        <v>-11940.52296529</v>
      </c>
      <c r="I1918" s="748">
        <f>'Part VII-Pro Forma'!I30</f>
        <v>-12298.7386542487</v>
      </c>
      <c r="J1918" s="748">
        <f>'Part VII-Pro Forma'!J30</f>
        <v>-12667.700813876161</v>
      </c>
      <c r="K1918" s="748">
        <f>'Part VII-Pro Forma'!K30</f>
        <v>-13047.731838292446</v>
      </c>
    </row>
    <row r="1919" spans="1:11">
      <c r="A1919" s="748" t="s">
        <v>1863</v>
      </c>
      <c r="B1919" s="748">
        <f>'Part VII-Pro Forma'!B31</f>
        <v>-308118</v>
      </c>
      <c r="C1919" s="748">
        <f>'Part VII-Pro Forma'!C31</f>
        <v>-124771</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-859392.89944012475</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f>IF(B1911=0,"",-B1910/B1911)</f>
        <v>0</v>
      </c>
      <c r="C1922" s="748" t="e">
        <f t="shared" ref="C1922:K1922" si="331">IF(C1911=0,"",-C1910/C1911)</f>
        <v>#VALUE!</v>
      </c>
      <c r="D1922" s="748" t="e">
        <f t="shared" si="331"/>
        <v>#VALUE!</v>
      </c>
      <c r="E1922" s="748" t="e">
        <f t="shared" si="331"/>
        <v>#VALUE!</v>
      </c>
      <c r="F1922" s="748" t="e">
        <f t="shared" si="331"/>
        <v>#VALUE!</v>
      </c>
      <c r="G1922" s="748" t="e">
        <f t="shared" si="331"/>
        <v>#VALUE!</v>
      </c>
      <c r="H1922" s="748" t="e">
        <f t="shared" si="331"/>
        <v>#VALUE!</v>
      </c>
      <c r="I1922" s="748" t="e">
        <f t="shared" si="331"/>
        <v>#VALUE!</v>
      </c>
      <c r="J1922" s="748" t="e">
        <f t="shared" si="331"/>
        <v>#VALUE!</v>
      </c>
      <c r="K1922" s="748" t="e">
        <f t="shared" si="331"/>
        <v>#VALUE!</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1362</v>
      </c>
      <c r="B1926" s="748">
        <f>IF(OR(B1915=0,AND(B1911=0,B1912=0,B1913=0,B1914=0,B1915=0)),"",-B1910/(B1911+B1912+B1913+B1914+B1915))</f>
        <v>0</v>
      </c>
      <c r="C1926" s="748" t="e">
        <f t="shared" ref="C1926:K1926" si="335">IF(OR(C1915=0,AND(C1911=0,C1912=0,C1913=0,C1914=0,C1915=0)),"",-C1910/(C1911+C1912+C1913+C1914+C1915))</f>
        <v>#VALUE!</v>
      </c>
      <c r="D1926" s="748" t="e">
        <f t="shared" si="335"/>
        <v>#VALUE!</v>
      </c>
      <c r="E1926" s="748" t="e">
        <f t="shared" si="335"/>
        <v>#VALUE!</v>
      </c>
      <c r="F1926" s="748" t="e">
        <f t="shared" si="335"/>
        <v>#VALUE!</v>
      </c>
      <c r="G1926" s="748" t="e">
        <f t="shared" si="335"/>
        <v>#VALUE!</v>
      </c>
      <c r="H1926" s="748" t="e">
        <f t="shared" si="335"/>
        <v>#VALUE!</v>
      </c>
      <c r="I1926" s="748" t="e">
        <f t="shared" si="335"/>
        <v>#VALUE!</v>
      </c>
      <c r="J1926" s="748" t="e">
        <f t="shared" si="335"/>
        <v>#VALUE!</v>
      </c>
      <c r="K1926" s="748" t="e">
        <f t="shared" si="335"/>
        <v>#VALUE!</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7103411.4497764222</v>
      </c>
      <c r="C1929" s="748">
        <f>'Part VII-Pro Forma'!C41</f>
        <v>7059360.7128985375</v>
      </c>
      <c r="D1929" s="748">
        <f>'Part VII-Pro Forma'!D41</f>
        <v>7012476.5526899211</v>
      </c>
      <c r="E1929" s="748">
        <f>'Part VII-Pro Forma'!E41</f>
        <v>6962576.7182203913</v>
      </c>
      <c r="F1929" s="748">
        <f>'Part VII-Pro Forma'!F41</f>
        <v>6909467.235849225</v>
      </c>
      <c r="G1929" s="748">
        <f>'Part VII-Pro Forma'!G41</f>
        <v>6852941.6551991412</v>
      </c>
      <c r="H1929" s="748">
        <f>'Part VII-Pro Forma'!H41</f>
        <v>6792780.2466299664</v>
      </c>
      <c r="I1929" s="748">
        <f>'Part VII-Pro Forma'!I41</f>
        <v>6728749.1470923489</v>
      </c>
      <c r="J1929" s="748">
        <f>'Part VII-Pro Forma'!J41</f>
        <v>6660599.4510412319</v>
      </c>
      <c r="K1929" s="748">
        <f>'Part VII-Pro Forma'!K41</f>
        <v>6588066.2428752361</v>
      </c>
    </row>
    <row r="1930" spans="1:11">
      <c r="A1930" s="748" t="str">
        <f>IF('Part III A-Sources of Funds'!$E$32 = "Neither", "Mortgage A Balance", "Mortgage B Balance")</f>
        <v>Mortgage B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1363</v>
      </c>
      <c r="B1932" s="748">
        <f>'Part VII-Pro Forma'!B44</f>
        <v>1475265.4698328164</v>
      </c>
      <c r="C1932" s="748">
        <f>'Part VII-Pro Forma'!C44</f>
        <v>1450031.6891111236</v>
      </c>
      <c r="D1932" s="748">
        <f>'Part VII-Pro Forma'!D44</f>
        <v>1424288.5807841551</v>
      </c>
      <c r="E1932" s="748">
        <f>'Part VII-Pro Forma'!E44</f>
        <v>1398025.8644023677</v>
      </c>
      <c r="F1932" s="748">
        <f>'Part VII-Pro Forma'!F44</f>
        <v>1371233.0520119679</v>
      </c>
      <c r="G1932" s="748">
        <f>'Part VII-Pro Forma'!G44</f>
        <v>1343899.4439665724</v>
      </c>
      <c r="H1932" s="748">
        <f>'Part VII-Pro Forma'!H44</f>
        <v>1316014.1246543298</v>
      </c>
      <c r="I1932" s="748">
        <f>'Part VII-Pro Forma'!I44</f>
        <v>1287565.9581387967</v>
      </c>
      <c r="J1932" s="748">
        <f>'Part VII-Pro Forma'!J44</f>
        <v>1258543.5837118276</v>
      </c>
      <c r="K1932" s="748">
        <f>'Part VII-Pro Forma'!K44</f>
        <v>1228935.4113567029</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124771</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-486766.28439441242</v>
      </c>
      <c r="C1946" s="748">
        <f>IF('Part III A-Sources of Funds'!$M$32="", 0,-'Part III A-Sources of Funds'!$M$32)</f>
        <v>-486766.28439441242</v>
      </c>
      <c r="D1946" s="748">
        <f>IF('Part III A-Sources of Funds'!$M$32="", 0,-'Part III A-Sources of Funds'!$M$32)</f>
        <v>-486766.28439441242</v>
      </c>
      <c r="E1946" s="748">
        <f>IF('Part III A-Sources of Funds'!$M$32="", 0,-'Part III A-Sources of Funds'!$M$32)</f>
        <v>-486766.28439441242</v>
      </c>
      <c r="F1946" s="748">
        <f>IF('Part III A-Sources of Funds'!$M$32="", 0,-'Part III A-Sources of Funds'!$M$32)</f>
        <v>-486766.28439441242</v>
      </c>
      <c r="G1946" s="748">
        <f>IF('Part III A-Sources of Funds'!$M$32="", 0,-'Part III A-Sources of Funds'!$M$32)</f>
        <v>-486766.28439441242</v>
      </c>
      <c r="H1946" s="748">
        <f>IF('Part III A-Sources of Funds'!$M$32="", 0,-'Part III A-Sources of Funds'!$M$32)</f>
        <v>-486766.28439441242</v>
      </c>
      <c r="I1946" s="748">
        <f>IF('Part III A-Sources of Funds'!$M$32="", 0,-'Part III A-Sources of Funds'!$M$32)</f>
        <v>-486766.28439441242</v>
      </c>
      <c r="J1946" s="748">
        <f>IF('Part III A-Sources of Funds'!$M$32="", 0,-'Part III A-Sources of Funds'!$M$32)</f>
        <v>-486766.28439441242</v>
      </c>
      <c r="K1946" s="748">
        <f>IF('Part III A-Sources of Funds'!$M$32="", 0,-'Part III A-Sources of Funds'!$M$32)</f>
        <v>-486766.28439441242</v>
      </c>
    </row>
    <row r="1947" spans="1:11">
      <c r="A1947" s="748" t="str">
        <f t="shared" si="345"/>
        <v>HUD MIP</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-54508.615045712293</v>
      </c>
      <c r="C1950" s="748">
        <f>'Part VII-Pro Forma'!C62</f>
        <v>-54508.615045712293</v>
      </c>
      <c r="D1950" s="748">
        <f>'Part VII-Pro Forma'!D62</f>
        <v>-54508.615045712293</v>
      </c>
      <c r="E1950" s="748">
        <f>'Part VII-Pro Forma'!E62</f>
        <v>-54508.615045712293</v>
      </c>
      <c r="F1950" s="748">
        <f>'Part VII-Pro Forma'!F62</f>
        <v>-54508.615045712293</v>
      </c>
      <c r="G1950" s="748">
        <f>'Part VII-Pro Forma'!G62</f>
        <v>-54508.615045712293</v>
      </c>
      <c r="H1950" s="748">
        <f>'Part VII-Pro Forma'!H62</f>
        <v>-54508.615045712293</v>
      </c>
      <c r="I1950" s="748">
        <f>'Part VII-Pro Forma'!I62</f>
        <v>-54508.615045712293</v>
      </c>
      <c r="J1950" s="748">
        <f>'Part VII-Pro Forma'!J62</f>
        <v>-54508.615045712293</v>
      </c>
      <c r="K1950" s="748">
        <f>'Part VII-Pro Forma'!K62</f>
        <v>-54508.615045712293</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-13439.163793441219</v>
      </c>
      <c r="C1953" s="748">
        <f>'Part VII-Pro Forma'!C65</f>
        <v>-13842.338707244457</v>
      </c>
      <c r="D1953" s="748">
        <f>'Part VII-Pro Forma'!D65</f>
        <v>-14257.60886846179</v>
      </c>
      <c r="E1953" s="748">
        <f>'Part VII-Pro Forma'!E65</f>
        <v>-14685.337134515645</v>
      </c>
      <c r="F1953" s="748">
        <f>'Part VII-Pro Forma'!F65</f>
        <v>-15125.897248551115</v>
      </c>
      <c r="G1953" s="748">
        <f>'Part VII-Pro Forma'!G65</f>
        <v>-15579.67416600765</v>
      </c>
      <c r="H1953" s="748">
        <f>'Part VII-Pro Forma'!H65</f>
        <v>-16047.06439098788</v>
      </c>
      <c r="I1953" s="748">
        <f>'Part VII-Pro Forma'!I65</f>
        <v>-16528.476322717517</v>
      </c>
      <c r="J1953" s="748">
        <f>'Part VII-Pro Forma'!J65</f>
        <v>-17024.330612399044</v>
      </c>
      <c r="K1953" s="748">
        <f>'Part VII-Pro Forma'!K65</f>
        <v>-17535.060530771018</v>
      </c>
    </row>
    <row r="1954" spans="1:11">
      <c r="A1954" s="748" t="s">
        <v>1863</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e">
        <f>IF(B1946=0,"",-B1945/B1946)</f>
        <v>#VALUE!</v>
      </c>
      <c r="C1957" s="748" t="e">
        <f t="shared" ref="C1957:K1957" si="348">IF(C1946=0,"",-C1945/C1946)</f>
        <v>#VALUE!</v>
      </c>
      <c r="D1957" s="748" t="e">
        <f t="shared" si="348"/>
        <v>#VALUE!</v>
      </c>
      <c r="E1957" s="748" t="e">
        <f t="shared" si="348"/>
        <v>#VALUE!</v>
      </c>
      <c r="F1957" s="748" t="e">
        <f t="shared" si="348"/>
        <v>#VALUE!</v>
      </c>
      <c r="G1957" s="748" t="e">
        <f t="shared" si="348"/>
        <v>#VALUE!</v>
      </c>
      <c r="H1957" s="748" t="e">
        <f t="shared" si="348"/>
        <v>#VALUE!</v>
      </c>
      <c r="I1957" s="748" t="e">
        <f t="shared" si="348"/>
        <v>#VALUE!</v>
      </c>
      <c r="J1957" s="748" t="e">
        <f t="shared" si="348"/>
        <v>#VALUE!</v>
      </c>
      <c r="K1957" s="748" t="e">
        <f t="shared" si="348"/>
        <v>#VALUE!</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e">
        <f>IF(OR(B1950=0,AND(B1946=0,B1947=0,B1948=0,B1949=0,B1950=0)),"",-B1945/(B1946+B1947+B1948+B1949+B1950))</f>
        <v>#VALUE!</v>
      </c>
      <c r="C1961" s="748" t="e">
        <f t="shared" ref="C1961:K1961" si="352">IF(OR(C1950=0,AND(C1946=0,C1947=0,C1948=0,C1949=0,C1950=0)),"",-C1945/(C1946+C1947+C1948+C1949+C1950))</f>
        <v>#VALUE!</v>
      </c>
      <c r="D1961" s="748" t="e">
        <f t="shared" si="352"/>
        <v>#VALUE!</v>
      </c>
      <c r="E1961" s="748" t="e">
        <f t="shared" si="352"/>
        <v>#VALUE!</v>
      </c>
      <c r="F1961" s="748" t="e">
        <f t="shared" si="352"/>
        <v>#VALUE!</v>
      </c>
      <c r="G1961" s="748" t="e">
        <f t="shared" si="352"/>
        <v>#VALUE!</v>
      </c>
      <c r="H1961" s="748" t="e">
        <f t="shared" si="352"/>
        <v>#VALUE!</v>
      </c>
      <c r="I1961" s="748" t="e">
        <f t="shared" si="352"/>
        <v>#VALUE!</v>
      </c>
      <c r="J1961" s="748" t="e">
        <f t="shared" si="352"/>
        <v>#VALUE!</v>
      </c>
      <c r="K1961" s="748" t="e">
        <f t="shared" si="352"/>
        <v>#VALUE!</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6510867.5671407832</v>
      </c>
      <c r="C1964" s="748">
        <f>'Part VII-Pro Forma'!C76</f>
        <v>6428703.3324978827</v>
      </c>
      <c r="D1964" s="748">
        <f>'Part VII-Pro Forma'!D76</f>
        <v>6341254.1451870091</v>
      </c>
      <c r="E1964" s="748">
        <f>'Part VII-Pro Forma'!E76</f>
        <v>6248180.0674624499</v>
      </c>
      <c r="F1964" s="748">
        <f>'Part VII-Pro Forma'!F76</f>
        <v>6149119.2961658342</v>
      </c>
      <c r="G1964" s="748">
        <f>'Part VII-Pro Forma'!G76</f>
        <v>6043686.7563031157</v>
      </c>
      <c r="H1964" s="748">
        <f>'Part VII-Pro Forma'!H76</f>
        <v>5931472.6041578716</v>
      </c>
      <c r="I1964" s="748">
        <f>'Part VII-Pro Forma'!I76</f>
        <v>5812040.6341221323</v>
      </c>
      <c r="J1964" s="748">
        <f>'Part VII-Pro Forma'!J76</f>
        <v>5684926.5830516824</v>
      </c>
      <c r="K1964" s="748">
        <f>'Part VII-Pro Forma'!K76</f>
        <v>5549636.3255544174</v>
      </c>
    </row>
    <row r="1965" spans="1:11">
      <c r="A1965" s="748" t="str">
        <f>IF('Part III A-Sources of Funds'!$E$32 = "Neither", "First Mortgage Balance", "Second Mortgage Balance")</f>
        <v>Second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1363</v>
      </c>
      <c r="B1967" s="748">
        <f>'Part VII-Pro Forma'!B79</f>
        <v>1198729.617119683</v>
      </c>
      <c r="C1967" s="748">
        <f>'Part VII-Pro Forma'!C79</f>
        <v>1167914.1383881408</v>
      </c>
      <c r="D1967" s="748">
        <f>'Part VII-Pro Forma'!D79</f>
        <v>1136476.6690733854</v>
      </c>
      <c r="E1967" s="748">
        <f>'Part VII-Pro Forma'!E79</f>
        <v>1104404.6546962548</v>
      </c>
      <c r="F1967" s="748">
        <f>'Part VII-Pro Forma'!F79</f>
        <v>1071685.2873735139</v>
      </c>
      <c r="G1967" s="748">
        <f>'Part VII-Pro Forma'!G79</f>
        <v>1038305.5007030572</v>
      </c>
      <c r="H1967" s="748">
        <f>'Part VII-Pro Forma'!H79</f>
        <v>1004251.9645458712</v>
      </c>
      <c r="I1967" s="748">
        <f>'Part VII-Pro Forma'!I79</f>
        <v>969511.07970267581</v>
      </c>
      <c r="J1967" s="748">
        <f>'Part VII-Pro Forma'!J79</f>
        <v>934068.97248311527</v>
      </c>
      <c r="K1967" s="748">
        <f>'Part VII-Pro Forma'!K79</f>
        <v>897911.48916533322</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-486766.28439441242</v>
      </c>
      <c r="C1981" s="748">
        <f>IF('Part III A-Sources of Funds'!$M$32="", 0,-'Part III A-Sources of Funds'!$M$32)</f>
        <v>-486766.28439441242</v>
      </c>
      <c r="D1981" s="748">
        <f>IF('Part III A-Sources of Funds'!$M$32="", 0,-'Part III A-Sources of Funds'!$M$32)</f>
        <v>-486766.28439441242</v>
      </c>
      <c r="E1981" s="748">
        <f>IF('Part III A-Sources of Funds'!$M$32="", 0,-'Part III A-Sources of Funds'!$M$32)</f>
        <v>-486766.28439441242</v>
      </c>
      <c r="F1981" s="748">
        <f>IF('Part III A-Sources of Funds'!$M$32="", 0,-'Part III A-Sources of Funds'!$M$32)</f>
        <v>-486766.28439441242</v>
      </c>
      <c r="G1981" s="748">
        <f>IF('Part III A-Sources of Funds'!$M$32="", 0,-'Part III A-Sources of Funds'!$M$32)</f>
        <v>-486766.28439441242</v>
      </c>
      <c r="H1981" s="748">
        <f>IF('Part III A-Sources of Funds'!$M$32="", 0,-'Part III A-Sources of Funds'!$M$32)</f>
        <v>-486766.28439441242</v>
      </c>
      <c r="I1981" s="748">
        <f>IF('Part III A-Sources of Funds'!$M$32="", 0,-'Part III A-Sources of Funds'!$M$32)</f>
        <v>-486766.28439441242</v>
      </c>
      <c r="J1981" s="748">
        <f>IF('Part III A-Sources of Funds'!$M$32="", 0,-'Part III A-Sources of Funds'!$M$32)</f>
        <v>-486766.28439441242</v>
      </c>
      <c r="K1981" s="748">
        <f>IF('Part III A-Sources of Funds'!$M$32="", 0,-'Part III A-Sources of Funds'!$M$32)</f>
        <v>-486766.28439441242</v>
      </c>
    </row>
    <row r="1982" spans="1:11">
      <c r="A1982" s="748" t="str">
        <f t="shared" si="362"/>
        <v>HUD MIP</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-54508.615045712293</v>
      </c>
      <c r="C1985" s="748">
        <f>'Part VII-Pro Forma'!C97</f>
        <v>-54508.615045712293</v>
      </c>
      <c r="D1985" s="748">
        <f>'Part VII-Pro Forma'!D97</f>
        <v>-54508.615045712293</v>
      </c>
      <c r="E1985" s="748">
        <f>'Part VII-Pro Forma'!E97</f>
        <v>-54508.615045712293</v>
      </c>
      <c r="F1985" s="748">
        <f>'Part VII-Pro Forma'!F97</f>
        <v>-54508.615045712293</v>
      </c>
      <c r="G1985" s="748">
        <f>'Part VII-Pro Forma'!G97</f>
        <v>-54508.615045712293</v>
      </c>
      <c r="H1985" s="748">
        <f>'Part VII-Pro Forma'!H97</f>
        <v>-54508.615045712293</v>
      </c>
      <c r="I1985" s="748">
        <f>'Part VII-Pro Forma'!I97</f>
        <v>-54508.615045712293</v>
      </c>
      <c r="J1985" s="748">
        <f>'Part VII-Pro Forma'!J97</f>
        <v>-54508.615045712293</v>
      </c>
      <c r="K1985" s="748">
        <f>'Part VII-Pro Forma'!K97</f>
        <v>-54508.615045712293</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-18061.11234669415</v>
      </c>
      <c r="C1988" s="748">
        <f>'Part VII-Pro Forma'!C100</f>
        <v>-18602.945717094975</v>
      </c>
      <c r="D1988" s="748">
        <f>'Part VII-Pro Forma'!D100</f>
        <v>-19161.034088607827</v>
      </c>
      <c r="E1988" s="748">
        <f>'Part VII-Pro Forma'!E100</f>
        <v>-19735.865111266063</v>
      </c>
      <c r="F1988" s="748">
        <f>'Part VII-Pro Forma'!F100</f>
        <v>-20327.941064604045</v>
      </c>
      <c r="G1988" s="748">
        <f>'Part VII-Pro Forma'!G100</f>
        <v>-20937.779296542169</v>
      </c>
      <c r="H1988" s="748">
        <f>'Part VII-Pro Forma'!H100</f>
        <v>-21565.912675438434</v>
      </c>
      <c r="I1988" s="748">
        <f>'Part VII-Pro Forma'!I100</f>
        <v>-22212.890055701588</v>
      </c>
      <c r="J1988" s="748">
        <f>'Part VII-Pro Forma'!J100</f>
        <v>-22879.276757372634</v>
      </c>
      <c r="K1988" s="748">
        <f>'Part VII-Pro Forma'!K100</f>
        <v>-23565.655060093814</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e">
        <f>IF(B1981=0,"",-B1980/B1981)</f>
        <v>#VALUE!</v>
      </c>
      <c r="C1992" s="748" t="e">
        <f t="shared" ref="C1992:K1992" si="365">IF(C1981=0,"",-C1980/C1981)</f>
        <v>#VALUE!</v>
      </c>
      <c r="D1992" s="748" t="e">
        <f t="shared" si="365"/>
        <v>#VALUE!</v>
      </c>
      <c r="E1992" s="748" t="e">
        <f t="shared" si="365"/>
        <v>#VALUE!</v>
      </c>
      <c r="F1992" s="748" t="e">
        <f t="shared" si="365"/>
        <v>#VALUE!</v>
      </c>
      <c r="G1992" s="748" t="e">
        <f t="shared" si="365"/>
        <v>#VALUE!</v>
      </c>
      <c r="H1992" s="748" t="e">
        <f t="shared" si="365"/>
        <v>#VALUE!</v>
      </c>
      <c r="I1992" s="748" t="e">
        <f t="shared" si="365"/>
        <v>#VALUE!</v>
      </c>
      <c r="J1992" s="748" t="e">
        <f t="shared" si="365"/>
        <v>#VALUE!</v>
      </c>
      <c r="K1992" s="748" t="e">
        <f t="shared" si="365"/>
        <v>#VALUE!</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e">
        <f>IF(OR(B1985=0,AND(B1981=0,B1982=0,B1983=0,B1984=0,B1985=0)),"",-B1980/(B1981+B1982+B1983+B1984+B1985))</f>
        <v>#VALUE!</v>
      </c>
      <c r="C1996" s="748" t="e">
        <f t="shared" ref="C1996:K1996" si="369">IF(OR(C1985=0,AND(C1981=0,C1982=0,C1983=0,C1984=0,C1985=0)),"",-C1980/(C1981+C1982+C1983+C1984+C1985))</f>
        <v>#VALUE!</v>
      </c>
      <c r="D1996" s="748" t="e">
        <f t="shared" si="369"/>
        <v>#VALUE!</v>
      </c>
      <c r="E1996" s="748" t="e">
        <f t="shared" si="369"/>
        <v>#VALUE!</v>
      </c>
      <c r="F1996" s="748" t="e">
        <f t="shared" si="369"/>
        <v>#VALUE!</v>
      </c>
      <c r="G1996" s="748" t="e">
        <f t="shared" si="369"/>
        <v>#VALUE!</v>
      </c>
      <c r="H1996" s="748" t="e">
        <f t="shared" si="369"/>
        <v>#VALUE!</v>
      </c>
      <c r="I1996" s="748" t="e">
        <f t="shared" si="369"/>
        <v>#VALUE!</v>
      </c>
      <c r="J1996" s="748" t="e">
        <f t="shared" si="369"/>
        <v>#VALUE!</v>
      </c>
      <c r="K1996" s="748" t="e">
        <f t="shared" si="369"/>
        <v>#VALUE!</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5405643.9531963682</v>
      </c>
      <c r="C1999" s="748">
        <f>'Part VII-Pro Forma'!C111</f>
        <v>5252389.730158776</v>
      </c>
      <c r="D1999" s="748">
        <f>'Part VII-Pro Forma'!D111</f>
        <v>5089277.9173993198</v>
      </c>
      <c r="E1999" s="748">
        <f>'Part VII-Pro Forma'!E111</f>
        <v>4915674.4568594443</v>
      </c>
      <c r="F1999" s="748">
        <f>'Part VII-Pro Forma'!F111</f>
        <v>4730904.5067157019</v>
      </c>
      <c r="G1999" s="748">
        <f>'Part VII-Pro Forma'!G111</f>
        <v>4534249.81809399</v>
      </c>
      <c r="H1999" s="748">
        <f>'Part VII-Pro Forma'!H111</f>
        <v>4324945.9430492828</v>
      </c>
      <c r="I1999" s="748">
        <f>'Part VII-Pro Forma'!I111</f>
        <v>4102179.2629575599</v>
      </c>
      <c r="J1999" s="748">
        <f>'Part VII-Pro Forma'!J111</f>
        <v>3865083.8257685052</v>
      </c>
      <c r="K1999" s="748">
        <f>'Part VII-Pro Forma'!K111</f>
        <v>3612737.9798245644</v>
      </c>
    </row>
    <row r="2000" spans="1:11">
      <c r="A2000" s="748" t="str">
        <f>IF('Part III A-Sources of Funds'!$E$32 = "Neither", "First Mortgage Balance", "Second Mortgage Balance")</f>
        <v>Second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1363</v>
      </c>
      <c r="B2002" s="748">
        <f>'Part VII-Pro Forma'!B114</f>
        <v>861024.190343717</v>
      </c>
      <c r="C2002" s="748">
        <f>'Part VII-Pro Forma'!C114</f>
        <v>823392.34516255546</v>
      </c>
      <c r="D2002" s="748">
        <f>'Part VII-Pro Forma'!D114</f>
        <v>785000.92543330614</v>
      </c>
      <c r="E2002" s="748">
        <f>'Part VII-Pro Forma'!E114</f>
        <v>745834.59963312384</v>
      </c>
      <c r="F2002" s="748">
        <f>'Part VII-Pro Forma'!F114</f>
        <v>705877.72678225301</v>
      </c>
      <c r="G2002" s="748">
        <f>'Part VII-Pro Forma'!G114</f>
        <v>665114.35019783967</v>
      </c>
      <c r="H2002" s="748">
        <f>'Part VII-Pro Forma'!H114</f>
        <v>623528.19112166751</v>
      </c>
      <c r="I2002" s="748">
        <f>'Part VII-Pro Forma'!I114</f>
        <v>581102.64221927442</v>
      </c>
      <c r="J2002" s="748">
        <f>'Part VII-Pro Forma'!J114</f>
        <v>537820.7609478524</v>
      </c>
      <c r="K2002" s="748">
        <f>'Part VII-Pro Forma'!K114</f>
        <v>493665.26279028354</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-486766.28439441242</v>
      </c>
      <c r="C2016" s="748">
        <f>IF('Part III A-Sources of Funds'!$M$32="", 0,-'Part III A-Sources of Funds'!$M$32)</f>
        <v>-486766.28439441242</v>
      </c>
      <c r="D2016" s="748">
        <f>IF('Part III A-Sources of Funds'!$M$32="", 0,-'Part III A-Sources of Funds'!$M$32)</f>
        <v>-486766.28439441242</v>
      </c>
      <c r="E2016" s="748">
        <f>IF('Part III A-Sources of Funds'!$M$32="", 0,-'Part III A-Sources of Funds'!$M$32)</f>
        <v>-486766.28439441242</v>
      </c>
      <c r="F2016" s="748">
        <f>IF('Part III A-Sources of Funds'!$M$32="", 0,-'Part III A-Sources of Funds'!$M$32)</f>
        <v>-486766.28439441242</v>
      </c>
    </row>
    <row r="2017" spans="1:6">
      <c r="A2017" s="748" t="str">
        <f t="shared" si="372"/>
        <v>HUD MIP</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-54508.615045712293</v>
      </c>
      <c r="C2020" s="748">
        <f>'Part VII-Pro Forma'!C132</f>
        <v>-54508.615045712293</v>
      </c>
      <c r="D2020" s="748">
        <f>'Part VII-Pro Forma'!D132</f>
        <v>-54508.615045712293</v>
      </c>
      <c r="E2020" s="748">
        <f>'Part VII-Pro Forma'!E132</f>
        <v>-54508.615045712293</v>
      </c>
      <c r="F2020" s="748">
        <f>'Part VII-Pro Forma'!F132</f>
        <v>-54508.615045712293</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-23565.655060093814</v>
      </c>
      <c r="C2023" s="748">
        <f>'Part VII-Pro Forma'!C135</f>
        <v>-23565.655060093814</v>
      </c>
      <c r="D2023" s="748">
        <f>'Part VII-Pro Forma'!D135</f>
        <v>-23565.655060093814</v>
      </c>
      <c r="E2023" s="748">
        <f>'Part VII-Pro Forma'!E135</f>
        <v>-23565.655060093814</v>
      </c>
      <c r="F2023" s="748">
        <f>'Part VII-Pro Forma'!F135</f>
        <v>-23565.655060093814</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e">
        <f>IF(B2016=0,"",-B2015/B2016)</f>
        <v>#VALUE!</v>
      </c>
      <c r="C2027" s="748" t="e">
        <f>IF(C2016=0,"",-C2015/C2016)</f>
        <v>#VALUE!</v>
      </c>
      <c r="D2027" s="748" t="e">
        <f>IF(D2016=0,"",-D2015/D2016)</f>
        <v>#VALUE!</v>
      </c>
      <c r="E2027" s="748" t="e">
        <f>IF(E2016=0,"",-E2015/E2016)</f>
        <v>#VALUE!</v>
      </c>
      <c r="F2027" s="748" t="e">
        <f>IF(F2016=0,"",-F2015/F2016)</f>
        <v>#VALUE!</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e">
        <f>IF(OR(B2020=0,AND(B2016=0,B2017=0,B2018=0,B2019=0,B2020=0)),"",-B2015/(B2016+B2017+B2018+B2019+B2020))</f>
        <v>#VALUE!</v>
      </c>
      <c r="C2031" s="748" t="e">
        <f>IF(OR(C2020=0,AND(C2016=0,C2017=0,C2018=0,C2019=0,C2020=0)),"",-C2015/(C2016+C2017+C2018+C2019+C2020))</f>
        <v>#VALUE!</v>
      </c>
      <c r="D2031" s="748" t="e">
        <f>IF(OR(D2020=0,AND(D2016=0,D2017=0,D2018=0,D2019=0,D2020=0)),"",-D2015/(D2016+D2017+D2018+D2019+D2020))</f>
        <v>#VALUE!</v>
      </c>
      <c r="E2031" s="748" t="e">
        <f>IF(OR(E2020=0,AND(E2016=0,E2017=0,E2018=0,E2019=0,E2020=0)),"",-E2015/(E2016+E2017+E2018+E2019+E2020))</f>
        <v>#VALUE!</v>
      </c>
      <c r="F2031" s="748" t="e">
        <f>IF(OR(F2020=0,AND(F2016=0,F2017=0,F2018=0,F2019=0,F2020=0)),"",-F2015/(F2016+F2017+F2018+F2019+F2020))</f>
        <v>#VALUE!</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3344160.7911611353</v>
      </c>
      <c r="C2034" s="748">
        <f>'Part VII-Pro Forma'!C146</f>
        <v>3058308.2303610025</v>
      </c>
      <c r="D2034" s="748">
        <f>'Part VII-Pro Forma'!D146</f>
        <v>2754069.1141403336</v>
      </c>
      <c r="E2034" s="748">
        <f>'Part VII-Pro Forma'!E146</f>
        <v>2430260.7858901192</v>
      </c>
      <c r="F2034" s="748">
        <f>'Part VII-Pro Forma'!F146</f>
        <v>2085624.5183822028</v>
      </c>
    </row>
    <row r="2035" spans="1:7">
      <c r="A2035" s="748" t="str">
        <f>IF('Part III A-Sources of Funds'!$E$32 = "Neither", "First Mortgage Balance", "Second Mortgage Balance")</f>
        <v>Second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1363</v>
      </c>
      <c r="B2037" s="748">
        <f>'Part VII-Pro Forma'!B149</f>
        <v>448618.51435260836</v>
      </c>
      <c r="C2037" s="748">
        <f>'Part VII-Pro Forma'!C149</f>
        <v>402662.52632217202</v>
      </c>
      <c r="D2037" s="748">
        <f>'Part VII-Pro Forma'!D149</f>
        <v>355778.94628363452</v>
      </c>
      <c r="E2037" s="748">
        <f>'Part VII-Pro Forma'!E149</f>
        <v>307949.05138997699</v>
      </c>
      <c r="F2037" s="748">
        <f>'Part VII-Pro Forma'!F149</f>
        <v>259153.74088557696</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0</v>
      </c>
      <c r="C2039" s="748">
        <f>'Part VII-Pro Forma'!C151</f>
        <v>0</v>
      </c>
      <c r="D2039" s="748">
        <f>'Part VII-Pro Forma'!D151</f>
        <v>0</v>
      </c>
      <c r="E2039" s="748">
        <f>'Part VII-Pro Forma'!E151</f>
        <v>0</v>
      </c>
      <c r="F2039" s="748">
        <f>'Part VII-Pro Forma'!F151</f>
        <v>0</v>
      </c>
    </row>
    <row r="2041" spans="1:7">
      <c r="A2041" s="748" t="s">
        <v>877</v>
      </c>
      <c r="G2041" s="748" t="s">
        <v>1653</v>
      </c>
    </row>
    <row r="2043" spans="1:7">
      <c r="A2043" s="748" t="str">
        <f>'Part VII-Pro Forma'!A155</f>
        <v xml:space="preserve">The new first mortgage has been underwritten and sized based on the parameters of the HUD 221 (d)(4) loan program.  The (d)(4) program allows for the new debt to be underwritten to the lesser of the existing Section 8 Contract rents and the market rents determined by the market study.  The proposed Section 8 rents shown on the 'Revenues-Expenses' tab are supported by the DCA Market Study as well as the HUD Market Study.  We anticipate these are rents the project will receive from HUD post renovation but we are unable to underwrite our new debt to these rents since they have not yet been approved by HUD.  Consequently, the additional revenue generated by the propsoed Section 8 contract rents creates a debt service coverage ratio that is greater than 1.40 in Year 1.  We do not feel we have oversubsidized the property since we have sized the new first mortgage within the parameters of the HUD 221(d)(4) loan program.  Additionally, we believe that sizing the debt in the manner we have will maximize the proejct's chances for successful operations in both the near and long term. </v>
      </c>
      <c r="G2043" s="748">
        <f>'Part VII-Pro Forma'!G155</f>
        <v>0</v>
      </c>
    </row>
    <row r="2044" spans="1:7">
      <c r="A2044" s="748" t="str">
        <f>'Part VII-Pro Forma'!A156</f>
        <v>Ancillary Income at the project is historically much less than the 2% of Gross Potential Income.  We are anticipating Year 1 Ancillary Income to be $8,061.  The additional ancillary income shown above also adds additional debt service coverage ratio to the project and should be taken into consideration when reviewing the project's pro forma.</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2011-015 Briarcliff Summit Apartments ,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2888</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1076</v>
      </c>
      <c r="O2079" s="748" t="s">
        <v>922</v>
      </c>
      <c r="P2079" s="748" t="str">
        <f>'Part VIII-Threshold Criteria'!P31</f>
        <v>No</v>
      </c>
      <c r="Q2079" s="748">
        <f>'Part VIII-Threshold Criteria'!Q31</f>
        <v>0</v>
      </c>
    </row>
    <row r="2080" spans="1:17">
      <c r="B2080" s="748" t="s">
        <v>3061</v>
      </c>
      <c r="C2080" s="748" t="s">
        <v>1077</v>
      </c>
      <c r="J2080" s="748" t="str">
        <f>'Part VIII-Threshold Criteria'!J32</f>
        <v>&lt;&lt; Select &gt;&gt;</v>
      </c>
    </row>
    <row r="2081" spans="1:17">
      <c r="B2081" s="748" t="s">
        <v>2919</v>
      </c>
    </row>
    <row r="2082" spans="1:17">
      <c r="A2082" s="748">
        <f>'Part VIII-Threshold Criteria'!A34</f>
        <v>0</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2921</v>
      </c>
      <c r="P2093" s="748">
        <f>'Part VIII-Threshold Criteria'!P45</f>
        <v>0</v>
      </c>
    </row>
    <row r="2095" spans="1:17">
      <c r="C2095" s="748" t="s">
        <v>113</v>
      </c>
      <c r="J2095" s="748" t="str">
        <f>'Part VIII-Threshold Criteria'!J47</f>
        <v>Senior (Elderly)</v>
      </c>
      <c r="P2095" s="748" t="str">
        <f>'Part VIII-Threshold Criteria'!P47</f>
        <v>Yes</v>
      </c>
      <c r="Q2095" s="748">
        <f>'Part VIII-Threshold Criteria'!Q47</f>
        <v>0</v>
      </c>
    </row>
    <row r="2096" spans="1:17">
      <c r="B2096" s="748" t="s">
        <v>2919</v>
      </c>
      <c r="K2096" s="748" t="s">
        <v>2920</v>
      </c>
    </row>
    <row r="2097" spans="1:17">
      <c r="A2097" s="748" t="str">
        <f>'Part VIII-Threshold Criteria'!A49</f>
        <v>The property is currently serving an elderly (62+ Years) and disabled population.  We will not be changing the tenancy characteristics as part of our plan to preserve the property.  The fully renovated property will continue to serve elderly (62+) and disabled residents.</v>
      </c>
      <c r="K2097" s="748">
        <f>'Part VIII-Threshold Criteria'!K49</f>
        <v>0</v>
      </c>
    </row>
    <row r="2099" spans="1:17">
      <c r="A2099" s="748">
        <v>3</v>
      </c>
      <c r="B2099" s="748" t="s">
        <v>681</v>
      </c>
      <c r="O2099" s="748" t="s">
        <v>2921</v>
      </c>
      <c r="P2099" s="748">
        <f>'Part VIII-Threshold Criteria'!P51</f>
        <v>0</v>
      </c>
    </row>
    <row r="2101" spans="1:17">
      <c r="B2101" s="748" t="s">
        <v>3058</v>
      </c>
      <c r="C2101" s="748" t="s">
        <v>4128</v>
      </c>
      <c r="P2101" s="748" t="str">
        <f>'Part VIII-Threshold Criteria'!P53</f>
        <v>Agree</v>
      </c>
      <c r="Q2101" s="748">
        <f>'Part VIII-Threshold Criteria'!Q53</f>
        <v>0</v>
      </c>
    </row>
    <row r="2102" spans="1:17">
      <c r="B2102" s="748" t="s">
        <v>3061</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2844</v>
      </c>
      <c r="O2104" s="748" t="s">
        <v>2764</v>
      </c>
      <c r="P2104" s="748" t="str">
        <f>'Part VIII-Threshold Criteria'!P56</f>
        <v>Yes</v>
      </c>
      <c r="Q2104" s="748">
        <f>'Part VIII-Threshold Criteria'!Q56</f>
        <v>0</v>
      </c>
    </row>
    <row r="2105" spans="1:17">
      <c r="C2105" s="748" t="s">
        <v>2765</v>
      </c>
      <c r="D2105" s="748" t="s">
        <v>400</v>
      </c>
      <c r="K2105" s="748" t="s">
        <v>2765</v>
      </c>
      <c r="L2105" s="748">
        <f>'Part VIII-Threshold Criteria'!L57</f>
        <v>0</v>
      </c>
      <c r="Q2105" s="748">
        <f>'Part VIII-Threshold Criteria'!Q57</f>
        <v>0</v>
      </c>
    </row>
    <row r="2106" spans="1:17">
      <c r="B2106" s="748" t="s">
        <v>2919</v>
      </c>
    </row>
    <row r="2107" spans="1:17">
      <c r="A2107" s="748" t="str">
        <f>'Part VIII-Threshold Criteria'!A59</f>
        <v>Our renovation plan for the property includes hiring a full-time resident service coordinator to work on-site with the residents of Briarcliff.  Preservation Management, Inc.</v>
      </c>
    </row>
    <row r="2108" spans="1:17">
      <c r="A2108" s="748" t="str">
        <f>'Part VIII-Threshold Criteria'!A60</f>
        <v>(the proposed management agent) has substantial experience designing and successfully implementing resident service programs at our other properties.  The supportive service plan we intend to implement is included in Tab 39-A with the Superior Project Concept Narrative Supporting documentation.</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Brad Moore, The Gill Group</v>
      </c>
      <c r="Q2115" s="748">
        <f>'Part VIII-Threshold Criteria'!Q67</f>
        <v>0</v>
      </c>
    </row>
    <row r="2116" spans="1:17">
      <c r="B2116" s="748" t="s">
        <v>3061</v>
      </c>
      <c r="C2116" s="748" t="s">
        <v>3116</v>
      </c>
      <c r="L2116" s="748" t="s">
        <v>3061</v>
      </c>
      <c r="M2116" s="748" t="str">
        <f>'Part VIII-Threshold Criteria'!M68</f>
        <v xml:space="preserve">12 months </v>
      </c>
      <c r="Q2116" s="748">
        <f>'Part VIII-Threshold Criteria'!Q68</f>
        <v>0</v>
      </c>
    </row>
    <row r="2117" spans="1:17">
      <c r="B2117" s="748" t="s">
        <v>1237</v>
      </c>
      <c r="C2117" s="748" t="s">
        <v>3729</v>
      </c>
      <c r="L2117" s="748" t="s">
        <v>1237</v>
      </c>
      <c r="M2117" s="748" t="str">
        <f>'Part VIII-Threshold Criteria'!M69</f>
        <v xml:space="preserve">12 months </v>
      </c>
      <c r="Q2117" s="748">
        <f>'Part VIII-Threshold Criteria'!Q69</f>
        <v>0</v>
      </c>
    </row>
    <row r="2118" spans="1:17">
      <c r="B2118" s="748" t="s">
        <v>3210</v>
      </c>
      <c r="C2118" s="748" t="s">
        <v>3730</v>
      </c>
      <c r="L2118" s="748" t="s">
        <v>3210</v>
      </c>
      <c r="M2118" s="748">
        <f>'Part VIII-Threshold Criteria'!M70</f>
        <v>0.26900000000000002</v>
      </c>
      <c r="Q2118" s="748">
        <f>'Part VIII-Threshold Criteria'!Q70</f>
        <v>0</v>
      </c>
    </row>
    <row r="2119" spans="1:17">
      <c r="B2119" s="748" t="s">
        <v>2761</v>
      </c>
      <c r="C2119" s="748" t="s">
        <v>3554</v>
      </c>
      <c r="O2119" s="748" t="s">
        <v>2761</v>
      </c>
      <c r="P2119" s="748" t="str">
        <f>'Part VIII-Threshold Criteria'!P71</f>
        <v>Yes</v>
      </c>
      <c r="Q2119" s="748">
        <f>'Part VIII-Threshold Criteria'!Q71</f>
        <v>0</v>
      </c>
    </row>
    <row r="2120" spans="1:17">
      <c r="D2120" s="748" t="s">
        <v>3591</v>
      </c>
      <c r="E2120" s="748" t="s">
        <v>950</v>
      </c>
      <c r="H2120" s="748" t="s">
        <v>3591</v>
      </c>
      <c r="I2120" s="748" t="s">
        <v>950</v>
      </c>
      <c r="L2120" s="748" t="s">
        <v>3591</v>
      </c>
      <c r="M2120" s="748" t="s">
        <v>950</v>
      </c>
    </row>
    <row r="2121" spans="1:17">
      <c r="C2121" s="748">
        <v>1</v>
      </c>
      <c r="D2121" s="748" t="str">
        <f>'Part VIII-Threshold Criteria'!D73</f>
        <v>2009-027</v>
      </c>
      <c r="E2121" s="748" t="str">
        <f>'Part VIII-Threshold Criteria'!E73</f>
        <v xml:space="preserve">Columbia Townhomes </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f>'Part VIII-Threshold Criteria'!P76</f>
        <v>0</v>
      </c>
      <c r="Q2124" s="748">
        <f>'Part VIII-Threshold Criteria'!Q76</f>
        <v>0</v>
      </c>
    </row>
    <row r="2125" spans="1:17">
      <c r="B2125" s="748" t="s">
        <v>2919</v>
      </c>
    </row>
    <row r="2126" spans="1:17">
      <c r="A2126" s="748" t="str">
        <f>'Part VIII-Threshold Criteria'!A78</f>
        <v>Columbia Townhomes at Edgewood is a 100-unit unsubsidized elderly elderly (62+) property with 40 units set at 50% of AMI and 60 unit set at 60% of AMI.  The property is made up a mix of 1 and 2 bedroom apartments and is located at 1281 Caroline Stree NE, Atlanta, GA.</v>
      </c>
    </row>
    <row r="2127" spans="1:17">
      <c r="A2127" s="748" t="str">
        <f>'Part VIII-Threshold Criteria'!A79</f>
        <v>The project absorption and stabilization rate assume the project is vacant.  The property is currently 96% occupied and we will not be permanently displacing any residents during renovations.  We do not anticipate the actual absorption and stablizing rate to be 12 months, and given the fact the property has large waitlist, and high demand for section 8 subsidized units, we believe the project will be fully occupied and stablized shortly after renovations are complete.  Additionally, given that Briarcliff is an existing property with a high occpancy rate, we do not believe the renovation of the property will negatively impact occupancy levels of other tax credit and/or affordable properties within the market area.</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728</v>
      </c>
      <c r="O2133" s="748" t="s">
        <v>3058</v>
      </c>
      <c r="P2133" s="748" t="str">
        <f>'Part VIII-Threshold Criteria'!P85</f>
        <v>No</v>
      </c>
      <c r="Q2133" s="748">
        <f>'Part VIII-Threshold Criteria'!Q85</f>
        <v>0</v>
      </c>
    </row>
    <row r="2134" spans="1:17">
      <c r="B2134" s="748" t="s">
        <v>3061</v>
      </c>
      <c r="C2134" s="748" t="s">
        <v>2004</v>
      </c>
      <c r="O2134" s="748" t="s">
        <v>3061</v>
      </c>
      <c r="P2134" s="748" t="str">
        <f>'Part VIII-Threshold Criteria'!P86</f>
        <v>No</v>
      </c>
      <c r="Q2134" s="748">
        <f>'Part VIII-Threshold Criteria'!Q86</f>
        <v>0</v>
      </c>
    </row>
    <row r="2135" spans="1:17">
      <c r="D2135" s="748" t="s">
        <v>848</v>
      </c>
      <c r="K2135" s="748" t="s">
        <v>849</v>
      </c>
      <c r="M2135" s="748">
        <f>'Part VIII-Threshold Criteria'!M87</f>
        <v>0</v>
      </c>
      <c r="Q2135" s="748">
        <f>'Part VIII-Threshold Criteria'!Q87</f>
        <v>0</v>
      </c>
    </row>
    <row r="2136" spans="1:17">
      <c r="C2136" s="748" t="s">
        <v>2763</v>
      </c>
      <c r="D2136" s="748" t="s">
        <v>678</v>
      </c>
      <c r="O2136" s="748" t="s">
        <v>2763</v>
      </c>
      <c r="P2136" s="748">
        <f>'Part VIII-Threshold Criteria'!P88</f>
        <v>0</v>
      </c>
      <c r="Q2136" s="748">
        <f>'Part VIII-Threshold Criteria'!Q88</f>
        <v>0</v>
      </c>
    </row>
    <row r="2137" spans="1:17">
      <c r="C2137" s="748" t="s">
        <v>2764</v>
      </c>
      <c r="D2137" s="748" t="s">
        <v>187</v>
      </c>
      <c r="O2137" s="748" t="s">
        <v>2764</v>
      </c>
      <c r="P2137" s="748">
        <f>'Part VIII-Threshold Criteria'!P89</f>
        <v>0</v>
      </c>
      <c r="Q2137" s="748">
        <f>'Part VIII-Threshold Criteria'!Q89</f>
        <v>0</v>
      </c>
    </row>
    <row r="2138" spans="1:17">
      <c r="C2138" s="748" t="s">
        <v>2765</v>
      </c>
      <c r="D2138" s="748" t="s">
        <v>188</v>
      </c>
      <c r="O2138" s="748" t="s">
        <v>2765</v>
      </c>
      <c r="P2138" s="748">
        <f>'Part VIII-Threshold Criteria'!P90</f>
        <v>0</v>
      </c>
      <c r="Q2138" s="748">
        <f>'Part VIII-Threshold Criteria'!Q90</f>
        <v>0</v>
      </c>
    </row>
    <row r="2139" spans="1:17">
      <c r="B2139" s="748" t="s">
        <v>1237</v>
      </c>
      <c r="C2139" s="748" t="s">
        <v>191</v>
      </c>
      <c r="O2139" s="748" t="s">
        <v>1237</v>
      </c>
      <c r="P2139" s="748">
        <f>'Part VIII-Threshold Criteria'!P91</f>
        <v>0</v>
      </c>
      <c r="Q2139" s="748">
        <f>'Part VIII-Threshold Criteria'!Q91</f>
        <v>0</v>
      </c>
    </row>
    <row r="2140" spans="1:17">
      <c r="B2140" s="748" t="s">
        <v>3210</v>
      </c>
      <c r="C2140" s="748" t="s">
        <v>2147</v>
      </c>
    </row>
    <row r="2141" spans="1:17">
      <c r="C2141" s="748" t="s">
        <v>2763</v>
      </c>
      <c r="D2141" s="748" t="s">
        <v>2148</v>
      </c>
      <c r="O2141" s="748" t="s">
        <v>2763</v>
      </c>
      <c r="P2141" s="748">
        <f>'Part VIII-Threshold Criteria'!P93</f>
        <v>0</v>
      </c>
      <c r="Q2141" s="748">
        <f>'Part VIII-Threshold Criteria'!Q93</f>
        <v>0</v>
      </c>
    </row>
    <row r="2142" spans="1:17">
      <c r="C2142" s="748" t="s">
        <v>2764</v>
      </c>
      <c r="D2142" s="748" t="s">
        <v>2149</v>
      </c>
      <c r="O2142" s="748" t="s">
        <v>2764</v>
      </c>
      <c r="P2142" s="748">
        <f>'Part VIII-Threshold Criteria'!P94</f>
        <v>0</v>
      </c>
      <c r="Q2142" s="748">
        <f>'Part VIII-Threshold Criteria'!Q94</f>
        <v>0</v>
      </c>
    </row>
    <row r="2143" spans="1:17">
      <c r="C2143" s="748" t="s">
        <v>2765</v>
      </c>
      <c r="D2143" s="748" t="s">
        <v>2150</v>
      </c>
      <c r="O2143" s="748" t="s">
        <v>2765</v>
      </c>
      <c r="P2143" s="748">
        <f>'Part VIII-Threshold Criteria'!P95</f>
        <v>0</v>
      </c>
      <c r="Q2143" s="748">
        <f>'Part VIII-Threshold Criteria'!Q95</f>
        <v>0</v>
      </c>
    </row>
    <row r="2144" spans="1:17">
      <c r="B2144" s="748" t="s">
        <v>2919</v>
      </c>
    </row>
    <row r="2145" spans="1:17">
      <c r="A2145" s="748" t="str">
        <f>'Part VIII-Threshold Criteria'!A97</f>
        <v>There is no identity of interest between the Buyer and Seller.  An appraisal was not included in the application submission.</v>
      </c>
    </row>
    <row r="2146" spans="1:17">
      <c r="A2146" s="748">
        <f>'Part VIII-Threshold Criteria'!A98</f>
        <v>0</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Teri Hovanec, The LJM Group</v>
      </c>
      <c r="Q2153" s="748">
        <f>'Part VIII-Threshold Criteria'!Q105</f>
        <v>0</v>
      </c>
    </row>
    <row r="2154" spans="1:17">
      <c r="B2154" s="748" t="s">
        <v>3061</v>
      </c>
      <c r="C2154" s="748" t="s">
        <v>2290</v>
      </c>
      <c r="O2154" s="748" t="s">
        <v>3061</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2841</v>
      </c>
      <c r="P2156" s="748">
        <f>'Part VIII-Threshold Criteria'!P108</f>
        <v>72</v>
      </c>
      <c r="Q2156" s="748">
        <f>'Part VIII-Threshold Criteria'!Q108</f>
        <v>0</v>
      </c>
    </row>
    <row r="2157" spans="1:17">
      <c r="C2157" s="748" t="s">
        <v>2088</v>
      </c>
    </row>
    <row r="2158" spans="1:17">
      <c r="C2158" s="748" t="str">
        <f>'Part VIII-Threshold Criteria'!C110</f>
        <v>The 72 db noise level is an exterior noise reading and the primary contributing factor is that Briarcliff is located at the corner of Highland Avenue and Ponce de Leon Avenue, a major throughway intersection.  Interior noise levels are well within acceptable level as documenting in the HUD noise analysis found in the Appendix of the Phase I ESA.</v>
      </c>
    </row>
    <row r="2159" spans="1:17">
      <c r="B2159" s="748" t="s">
        <v>3210</v>
      </c>
      <c r="C2159" s="748" t="s">
        <v>1943</v>
      </c>
      <c r="O2159" s="748" t="s">
        <v>3210</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3243</v>
      </c>
      <c r="P2167" s="748">
        <f>'Part VIII-Threshold Criteria'!P119</f>
        <v>0</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725</v>
      </c>
      <c r="O2169" s="748" t="s">
        <v>3569</v>
      </c>
      <c r="P2169" s="748" t="str">
        <f>'Part VIII-Threshold Criteria'!P121</f>
        <v>No</v>
      </c>
      <c r="Q2169" s="748">
        <f>'Part VIII-Threshold Criteria'!Q121</f>
        <v>0</v>
      </c>
    </row>
    <row r="2170" spans="2:17">
      <c r="B2170" s="748" t="s">
        <v>2761</v>
      </c>
      <c r="C2170" s="748" t="s">
        <v>3656</v>
      </c>
      <c r="O2170" s="748" t="s">
        <v>2761</v>
      </c>
      <c r="P2170" s="748">
        <f>'Part VIII-Threshold Criteria'!P122</f>
        <v>0</v>
      </c>
      <c r="Q2170" s="748">
        <f>'Part VIII-Threshold Criteria'!Q122</f>
        <v>0</v>
      </c>
    </row>
    <row r="2171" spans="2:17">
      <c r="C2171" s="748" t="s">
        <v>2763</v>
      </c>
      <c r="D2171" s="748" t="s">
        <v>3657</v>
      </c>
      <c r="F2171" s="748" t="str">
        <f>'Part VIII-Threshold Criteria'!F123</f>
        <v>Yes</v>
      </c>
      <c r="G2171" s="748">
        <f>'Part VIII-Threshold Criteria'!G123</f>
        <v>0</v>
      </c>
      <c r="H2171" s="748" t="s">
        <v>2765</v>
      </c>
      <c r="I2171" s="748" t="s">
        <v>2304</v>
      </c>
      <c r="J2171" s="748" t="str">
        <f>'Part VIII-Threshold Criteria'!J123</f>
        <v>No</v>
      </c>
      <c r="K2171" s="748">
        <f>'Part VIII-Threshold Criteria'!K123</f>
        <v>0</v>
      </c>
      <c r="L2171" s="748" t="s">
        <v>2302</v>
      </c>
      <c r="M2171" s="748" t="s">
        <v>3619</v>
      </c>
      <c r="N2171" s="748" t="str">
        <f>'Part VIII-Threshold Criteria'!N123</f>
        <v>No</v>
      </c>
      <c r="O2171" s="748">
        <f>'Part VIII-Threshold Criteria'!O123</f>
        <v>0</v>
      </c>
    </row>
    <row r="2172" spans="2:17">
      <c r="C2172" s="748" t="s">
        <v>2764</v>
      </c>
      <c r="D2172" s="748" t="s">
        <v>3773</v>
      </c>
      <c r="F2172" s="748" t="str">
        <f>'Part VIII-Threshold Criteria'!F124</f>
        <v>Yes</v>
      </c>
      <c r="G2172" s="748">
        <f>'Part VIII-Threshold Criteria'!G124</f>
        <v>0</v>
      </c>
      <c r="H2172" s="748" t="s">
        <v>3569</v>
      </c>
      <c r="I2172" s="748" t="s">
        <v>2305</v>
      </c>
      <c r="J2172" s="748" t="str">
        <f>'Part VIII-Threshold Criteria'!J124</f>
        <v>No</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2762</v>
      </c>
      <c r="C2174" s="748" t="s">
        <v>1982</v>
      </c>
      <c r="O2174" s="748" t="s">
        <v>2762</v>
      </c>
      <c r="P2174" s="748" t="str">
        <f>'Part VIII-Threshold Criteria'!P126</f>
        <v>No</v>
      </c>
      <c r="Q2174" s="748">
        <f>'Part VIII-Threshold Criteria'!Q126</f>
        <v>0</v>
      </c>
    </row>
    <row r="2175" spans="2:17">
      <c r="C2175" s="748" t="s">
        <v>2763</v>
      </c>
      <c r="D2175" s="748" t="s">
        <v>1078</v>
      </c>
      <c r="O2175" s="748" t="s">
        <v>2763</v>
      </c>
      <c r="P2175" s="748" t="str">
        <f>'Part VIII-Threshold Criteria'!P127</f>
        <v>No</v>
      </c>
      <c r="Q2175" s="748">
        <f>'Part VIII-Threshold Criteria'!Q127</f>
        <v>0</v>
      </c>
    </row>
    <row r="2176" spans="2:17">
      <c r="C2176" s="748" t="s">
        <v>2764</v>
      </c>
      <c r="D2176" s="748" t="s">
        <v>724</v>
      </c>
      <c r="O2176" s="748" t="s">
        <v>2764</v>
      </c>
      <c r="P2176" s="748" t="str">
        <f>'Part VIII-Threshold Criteria'!P128</f>
        <v>Yes</v>
      </c>
      <c r="Q2176" s="748">
        <f>'Part VIII-Threshold Criteria'!Q128</f>
        <v>0</v>
      </c>
    </row>
    <row r="2177" spans="1:17">
      <c r="C2177" s="748" t="s">
        <v>2765</v>
      </c>
      <c r="D2177" s="748" t="s">
        <v>1030</v>
      </c>
      <c r="O2177" s="748" t="s">
        <v>2765</v>
      </c>
      <c r="P2177" s="748" t="str">
        <f>'Part VIII-Threshold Criteria'!P129</f>
        <v>Yes</v>
      </c>
      <c r="Q2177" s="748">
        <f>'Part VIII-Threshold Criteria'!Q129</f>
        <v>0</v>
      </c>
    </row>
    <row r="2178" spans="1:17">
      <c r="B2178" s="748" t="s">
        <v>3018</v>
      </c>
      <c r="C2178" s="748" t="s">
        <v>2780</v>
      </c>
      <c r="O2178" s="748" t="s">
        <v>3018</v>
      </c>
      <c r="P2178" s="748">
        <f>'Part VIII-Threshold Criteria'!P130</f>
        <v>0</v>
      </c>
      <c r="Q2178" s="748">
        <f>'Part VIII-Threshold Criteria'!Q130</f>
        <v>0</v>
      </c>
    </row>
    <row r="2180" spans="1:17">
      <c r="B2180" s="748" t="s">
        <v>2919</v>
      </c>
    </row>
    <row r="2181" spans="1:17">
      <c r="A2181" s="748">
        <f>'Part VIII-Threshold Criteria'!A133</f>
        <v>0</v>
      </c>
    </row>
    <row r="2182" spans="1:17">
      <c r="A2182" s="748">
        <f>'Part VIII-Threshold Criteria'!A134</f>
        <v>0</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 xml:space="preserve">Evergreen Partners II LLC </v>
      </c>
      <c r="P2192" s="748" t="str">
        <f>'Part VIII-Threshold Criteria'!P144</f>
        <v>Yes</v>
      </c>
      <c r="Q2192" s="748">
        <f>'Part VIII-Threshold Criteria'!Q144</f>
        <v>0</v>
      </c>
    </row>
    <row r="2193" spans="1:17">
      <c r="B2193" s="748" t="s">
        <v>2919</v>
      </c>
    </row>
    <row r="2194" spans="1:17">
      <c r="A2194" s="748" t="str">
        <f>'Part VIII-Threshold Criteria'!A146</f>
        <v>Evergreen Partners II LLC is an affiliate of proposed ownership entity The Seven Fifty Limited Partnership.  Per Section 11.3 of the Purchase and Sale Contract included in Tab 12-A, Evergreen</v>
      </c>
    </row>
    <row r="2195" spans="1:17">
      <c r="A2195" s="748" t="str">
        <f>'Part VIII-Threshold Criteria'!A147</f>
        <v>Partners II LLC has the right to assign the P&amp;S to an affiliated entity.  Evergreen Partners II LLC will assign the purchase contract to The Seven Fifty Limited Partnership prior to closing.</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Briarcliff Summit Apartments is an existing property with direct access to public paved roads (Ponde de Leon Avenue).  Please see Tab 13 for Site Access documentation.</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720</v>
      </c>
      <c r="O2212" s="748" t="s">
        <v>3061</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3210</v>
      </c>
      <c r="C2214" s="748" t="s">
        <v>928</v>
      </c>
      <c r="O2214" s="748" t="s">
        <v>3210</v>
      </c>
      <c r="P2214" s="748" t="str">
        <f>'Part VIII-Threshold Criteria'!P166</f>
        <v>Yes</v>
      </c>
      <c r="Q2214" s="748">
        <f>'Part VIII-Threshold Criteria'!Q166</f>
        <v>0</v>
      </c>
    </row>
    <row r="2215" spans="1:17">
      <c r="B2215" s="748" t="s">
        <v>2761</v>
      </c>
      <c r="C2215" s="748" t="s">
        <v>3592</v>
      </c>
      <c r="O2215" s="748" t="s">
        <v>2761</v>
      </c>
      <c r="P2215" s="748" t="str">
        <f>'Part VIII-Threshold Criteria'!P167</f>
        <v>Yes</v>
      </c>
      <c r="Q2215" s="748">
        <f>'Part VIII-Threshold Criteria'!Q167</f>
        <v>0</v>
      </c>
    </row>
    <row r="2216" spans="1:17">
      <c r="B2216" s="748" t="s">
        <v>2919</v>
      </c>
    </row>
    <row r="2217" spans="1:17">
      <c r="A2217" s="748" t="str">
        <f>'Part VIII-Threshold Criteria'!A169</f>
        <v>The City of Atlanta provided a zoning classifcation confirmation letter for Briarcliff Summit Apartments, along with the supporting City Zoning Ordinance documentation.  As noted on the</v>
      </c>
    </row>
    <row r="2218" spans="1:17">
      <c r="A2218" s="748" t="str">
        <f>'Part VIII-Threshold Criteria'!A170</f>
        <v>Site Development Plan, Briarcliff is legally non-conforming since the site was developed prior to existance of the current zoning ordinances.  Our renovation plan for the property will not changes the building's footprint or number of units, and will continue to be legally non-conforming post renovation.  The letter provided by the City of Atlanta is a standard format letter and they would not comment on whether or not the renovation of Briarlciff Summit would include the development of prime or unique farm land, as required by the QAP.  Given that it is an existing property located in an urban setting surrounded by single family, multi-family and commercial uses we do not believe this designation is applicable to our plan to acquire and preserve Briarcliff Summit Apartments.</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2763</v>
      </c>
      <c r="I2224" s="748" t="s">
        <v>206</v>
      </c>
      <c r="J2224" s="748" t="str">
        <f>'Part VIII-Threshold Criteria'!J176</f>
        <v xml:space="preserve">Georgia Natural Gas </v>
      </c>
      <c r="O2224" s="748" t="s">
        <v>2763</v>
      </c>
      <c r="P2224" s="748" t="str">
        <f>'Part VIII-Threshold Criteria'!P176</f>
        <v>Yes</v>
      </c>
      <c r="Q2224" s="748">
        <f>'Part VIII-Threshold Criteria'!Q176</f>
        <v>0</v>
      </c>
    </row>
    <row r="2225" spans="1:17">
      <c r="H2225" s="748" t="s">
        <v>2764</v>
      </c>
      <c r="I2225" s="748" t="s">
        <v>2356</v>
      </c>
      <c r="J2225" s="748" t="str">
        <f>'Part VIII-Threshold Criteria'!J177</f>
        <v xml:space="preserve">Georgia Power </v>
      </c>
      <c r="O2225" s="748" t="s">
        <v>2764</v>
      </c>
      <c r="P2225" s="748" t="str">
        <f>'Part VIII-Threshold Criteria'!P177</f>
        <v>Yes</v>
      </c>
      <c r="Q2225" s="748">
        <f>'Part VIII-Threshold Criteria'!Q177</f>
        <v>0</v>
      </c>
    </row>
    <row r="2226" spans="1:17">
      <c r="B2226" s="748" t="s">
        <v>2919</v>
      </c>
    </row>
    <row r="2227" spans="1:17">
      <c r="A2227" s="748">
        <f>'Part VIII-Threshold Criteria'!A179</f>
        <v>0</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3061</v>
      </c>
      <c r="C2235" s="748" t="s">
        <v>2901</v>
      </c>
      <c r="H2235" s="748" t="s">
        <v>2763</v>
      </c>
      <c r="I2235" s="748" t="s">
        <v>970</v>
      </c>
      <c r="J2235" s="748" t="str">
        <f>'Part VIII-Threshold Criteria'!J187</f>
        <v>City of Atlanta</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Atlanta</v>
      </c>
      <c r="O2236" s="748" t="s">
        <v>2764</v>
      </c>
      <c r="P2236" s="748" t="str">
        <f>'Part VIII-Threshold Criteria'!P188</f>
        <v>Yes</v>
      </c>
      <c r="Q2236" s="748">
        <f>'Part VIII-Threshold Criteria'!Q188</f>
        <v>0</v>
      </c>
    </row>
    <row r="2237" spans="1:17">
      <c r="B2237" s="748" t="s">
        <v>2919</v>
      </c>
    </row>
    <row r="2238" spans="1:17">
      <c r="A2238" s="748" t="str">
        <f>'Part VIII-Threshold Criteria'!A190</f>
        <v>The City of Atlanta Department of Watershed Management provided us with a letter indicating that water service was established at the property in 1960.  This is the only letter they would provide to us after numerous attempts over the past months to secure a stronger letter.  They would not comment on whether or not the utilities they provide are adequately designed to serve the capacity and needs of the property.  We also made numerous attempts to have them delineate between "water" and "sewer" which they would not do. The currrent management reports no issues with the water and sewer system at the property.  We believe the exisitng utilities are properly sized to meet the current demands of the population at Briarcliff Summit.  Given the various water saving measures we will be implementing as part of our renovation plan we believe this will continue to hold true going forward.</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3210</v>
      </c>
      <c r="C2247" s="748" t="s">
        <v>196</v>
      </c>
      <c r="O2247" s="748" t="s">
        <v>3210</v>
      </c>
      <c r="P2247" s="748" t="str">
        <f>'Part VIII-Threshold Criteria'!P199</f>
        <v>Yes</v>
      </c>
      <c r="Q2247" s="748">
        <f>'Part VIII-Threshold Criteria'!Q199</f>
        <v>0</v>
      </c>
    </row>
    <row r="2248" spans="1:17">
      <c r="B2248" s="748" t="s">
        <v>2919</v>
      </c>
    </row>
    <row r="2249" spans="1:17">
      <c r="A2249" s="748" t="str">
        <f>'Part VIII-Threshold Criteria'!A201</f>
        <v>We initially presented our plan for Briarcliff Summit to the local neighborhood group, Virginia Highland Civic Association, in 2010 and again on June 13, 2011.  A copy of the meeting minutes documenting our attendance and their notification, as well as letter of support, is included under Tab 16-A.  Additionally, the City of Atlanta adopted a resolution of support for the project in June 06, 2011.  The resolution of support was signed by the Mayor on June 13th, 2011.  A copy of the resolution of support and associated meeting minutes are also included under Tab 16-B.</v>
      </c>
    </row>
    <row r="2250" spans="1:17">
      <c r="A2250" s="748">
        <f>'Part VIII-Threshold Criteria'!A202</f>
        <v>0</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1837</v>
      </c>
      <c r="P2257" s="748" t="str">
        <f>'Part VIII-Threshold Criteria'!P209</f>
        <v>No</v>
      </c>
      <c r="Q2257" s="748">
        <f>'Part VIII-Threshold Criteria'!Q209</f>
        <v>0</v>
      </c>
    </row>
    <row r="2258" spans="2:17">
      <c r="B2258" s="748" t="s">
        <v>3058</v>
      </c>
      <c r="C2258" s="748" t="s">
        <v>2085</v>
      </c>
    </row>
    <row r="2259" spans="2:17">
      <c r="C2259" s="748" t="s">
        <v>2763</v>
      </c>
      <c r="D2259" s="748" t="s">
        <v>3001</v>
      </c>
      <c r="L2259" s="748" t="s">
        <v>2229</v>
      </c>
      <c r="M2259" s="748" t="str">
        <f>'Part VIII-Threshold Criteria'!M211</f>
        <v>Room</v>
      </c>
      <c r="P2259" s="748" t="str">
        <f>'Part VIII-Threshold Criteria'!P211</f>
        <v>Agree</v>
      </c>
      <c r="Q2259" s="748">
        <f>'Part VIII-Threshold Criteria'!Q211</f>
        <v>0</v>
      </c>
    </row>
    <row r="2260" spans="2:17">
      <c r="C2260" s="748" t="s">
        <v>2764</v>
      </c>
      <c r="D2260" s="748" t="s">
        <v>198</v>
      </c>
      <c r="L2260" s="748" t="s">
        <v>2230</v>
      </c>
      <c r="M2260" s="748" t="str">
        <f>'Part VIII-Threshold Criteria'!M212</f>
        <v>Gazebo</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4129</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Arts &amp; Craft Center</v>
      </c>
      <c r="I2266" s="748">
        <f>'Part VIII-Threshold Criteria'!I218</f>
        <v>0</v>
      </c>
      <c r="J2266" s="748">
        <f>'Part VIII-Threshold Criteria'!J218</f>
        <v>0</v>
      </c>
      <c r="K2266" s="748" t="s">
        <v>2765</v>
      </c>
      <c r="L2266" s="748" t="str">
        <f>'Part VIII-Threshold Criteria'!L218</f>
        <v>Wellness Center</v>
      </c>
      <c r="P2266" s="748">
        <f>'Part VIII-Threshold Criteria'!P218</f>
        <v>0</v>
      </c>
      <c r="Q2266" s="748">
        <f>'Part VIII-Threshold Criteria'!Q218</f>
        <v>0</v>
      </c>
    </row>
    <row r="2267" spans="2:17">
      <c r="C2267" s="748" t="s">
        <v>2764</v>
      </c>
      <c r="D2267" s="748" t="str">
        <f>'Part VIII-Threshold Criteria'!D219</f>
        <v>Computer Center</v>
      </c>
      <c r="I2267" s="748">
        <f>'Part VIII-Threshold Criteria'!I219</f>
        <v>0</v>
      </c>
      <c r="J2267" s="748">
        <f>'Part VIII-Threshold Criteria'!J219</f>
        <v>0</v>
      </c>
      <c r="K2267" s="748" t="s">
        <v>3569</v>
      </c>
      <c r="L2267" s="748" t="str">
        <f>'Part VIII-Threshold Criteria'!L219</f>
        <v>Exercise/Fitness Center</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No</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No</v>
      </c>
      <c r="Q2275" s="748">
        <f>'Part VIII-Threshold Criteria'!Q227</f>
        <v>0</v>
      </c>
    </row>
    <row r="2277" spans="1:17">
      <c r="B2277" s="748" t="s">
        <v>3210</v>
      </c>
      <c r="C2277" s="748" t="s">
        <v>2343</v>
      </c>
      <c r="O2277" s="748" t="s">
        <v>3210</v>
      </c>
      <c r="P2277" s="748" t="str">
        <f>'Part VIII-Threshold Criteria'!P229</f>
        <v>Agree</v>
      </c>
      <c r="Q2277" s="748">
        <f>'Part VIII-Threshold Criteria'!Q229</f>
        <v>0</v>
      </c>
    </row>
    <row r="2278" spans="1:17">
      <c r="C2278" s="748" t="s">
        <v>2763</v>
      </c>
      <c r="D2278" s="748" t="s">
        <v>1932</v>
      </c>
      <c r="O2278" s="748" t="s">
        <v>2763</v>
      </c>
      <c r="P2278" s="748" t="str">
        <f>'Part VIII-Threshold Criteria'!P230</f>
        <v>Yes</v>
      </c>
      <c r="Q2278" s="748">
        <f>'Part VIII-Threshold Criteria'!Q230</f>
        <v>0</v>
      </c>
    </row>
    <row r="2279" spans="1:17">
      <c r="C2279" s="748" t="s">
        <v>2764</v>
      </c>
      <c r="D2279" s="748" t="s">
        <v>199</v>
      </c>
      <c r="O2279" s="748" t="s">
        <v>2764</v>
      </c>
      <c r="P2279" s="748" t="str">
        <f>'Part VIII-Threshold Criteria'!P231</f>
        <v>Yes</v>
      </c>
      <c r="Q2279" s="748">
        <f>'Part VIII-Threshold Criteria'!Q231</f>
        <v>0</v>
      </c>
    </row>
    <row r="2280" spans="1:17">
      <c r="C2280" s="748" t="s">
        <v>2765</v>
      </c>
      <c r="D2280" s="748" t="s">
        <v>2624</v>
      </c>
      <c r="O2280" s="748" t="s">
        <v>3579</v>
      </c>
      <c r="P2280" s="748" t="str">
        <f>'Part VIII-Threshold Criteria'!P232</f>
        <v>No</v>
      </c>
      <c r="Q2280" s="748">
        <f>'Part VIII-Threshold Criteria'!Q232</f>
        <v>0</v>
      </c>
    </row>
    <row r="2281" spans="1:17">
      <c r="D2281" s="748" t="s">
        <v>1983</v>
      </c>
      <c r="O2281" s="748" t="s">
        <v>3580</v>
      </c>
      <c r="P2281" s="748" t="str">
        <f>'Part VIII-Threshold Criteria'!P233</f>
        <v>No</v>
      </c>
      <c r="Q2281" s="748">
        <f>'Part VIII-Threshold Criteria'!Q233</f>
        <v>0</v>
      </c>
    </row>
    <row r="2282" spans="1:17">
      <c r="B2282" s="748" t="s">
        <v>2919</v>
      </c>
    </row>
    <row r="2283" spans="1:17">
      <c r="A2283" s="748" t="str">
        <f>'Part VIII-Threshold Criteria'!A235</f>
        <v>Item 3: The Fair Housing Amendments Act of 1988 does not apply as the property was built for first occupancy prior to March 13, 1991.  We have designed the scope</v>
      </c>
    </row>
    <row r="2284" spans="1:17">
      <c r="A2284" s="748" t="str">
        <f>'Part VIII-Threshold Criteria'!A236</f>
        <v xml:space="preserve">of work to make the property as accessible and adaptable as possible given its existing conditions and cost constraints.  We are open to working with DCA to examine additional accessibility/adaptability options for the property.  We are current committing to 7% of the units as fully accessibily and an additional 2% adapted for individuals with hearing and vision impairments.  </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1951</v>
      </c>
      <c r="L2291" s="748" t="s">
        <v>3058</v>
      </c>
      <c r="M2291" s="748" t="str">
        <f>'Part VIII-Threshold Criteria'!M243</f>
        <v>Historic Preservation</v>
      </c>
      <c r="P2291" s="748" t="str">
        <f>'Part VIII-Threshold Criteria'!P243</f>
        <v>&lt;&lt;Select&gt;&gt;</v>
      </c>
    </row>
    <row r="2292" spans="1:17">
      <c r="B2292" s="748" t="s">
        <v>3061</v>
      </c>
      <c r="C2292" s="748" t="s">
        <v>1920</v>
      </c>
      <c r="L2292" s="748" t="s">
        <v>3061</v>
      </c>
      <c r="M2292" s="748">
        <f>'Part VIII-Threshold Criteria'!M244</f>
        <v>40706</v>
      </c>
      <c r="P2292" s="748">
        <f>'Part VIII-Threshold Criteria'!P244</f>
        <v>0</v>
      </c>
    </row>
    <row r="2293" spans="1:17">
      <c r="B2293" s="748" t="s">
        <v>1237</v>
      </c>
      <c r="C2293" s="748" t="s">
        <v>3015</v>
      </c>
      <c r="L2293" s="748" t="s">
        <v>1237</v>
      </c>
      <c r="M2293" s="748" t="str">
        <f>'Part VIII-Threshold Criteria'!M245</f>
        <v>Melvin Cauthen, EMG Corp</v>
      </c>
      <c r="P2293" s="748">
        <f>'Part VIII-Threshold Criteria'!P245</f>
        <v>0</v>
      </c>
    </row>
    <row r="2294" spans="1:17">
      <c r="B2294" s="748" t="s">
        <v>3210</v>
      </c>
      <c r="C2294" s="748" t="s">
        <v>3840</v>
      </c>
      <c r="O2294" s="748" t="s">
        <v>3210</v>
      </c>
      <c r="P2294" s="748" t="str">
        <f>'Part VIII-Threshold Criteria'!P246</f>
        <v>Yes</v>
      </c>
      <c r="Q2294" s="748">
        <f>'Part VIII-Threshold Criteria'!Q246</f>
        <v>0</v>
      </c>
    </row>
    <row r="2295" spans="1:17">
      <c r="B2295" s="748" t="s">
        <v>2761</v>
      </c>
      <c r="C2295" s="748" t="s">
        <v>4130</v>
      </c>
      <c r="O2295" s="748" t="s">
        <v>2761</v>
      </c>
      <c r="P2295" s="748" t="str">
        <f>'Part VIII-Threshold Criteria'!P247</f>
        <v>Agree</v>
      </c>
      <c r="Q2295" s="748">
        <f>'Part VIII-Threshold Criteria'!Q247</f>
        <v>0</v>
      </c>
    </row>
    <row r="2296" spans="1:17">
      <c r="B2296" s="748" t="s">
        <v>2919</v>
      </c>
    </row>
    <row r="2297" spans="1:17">
      <c r="A2297" s="748">
        <f>'Part VIII-Threshold Criteria'!A249</f>
        <v>0</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2818</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2112</v>
      </c>
      <c r="O2306" s="748" t="s">
        <v>3061</v>
      </c>
      <c r="P2306" s="748" t="str">
        <f>'Part VIII-Threshold Criteria'!P258</f>
        <v>Yes</v>
      </c>
      <c r="Q2306" s="748">
        <f>'Part VIII-Threshold Criteria'!Q258</f>
        <v>0</v>
      </c>
    </row>
    <row r="2307" spans="1:17">
      <c r="B2307" s="748" t="s">
        <v>2919</v>
      </c>
    </row>
    <row r="2308" spans="1:17">
      <c r="A2308" s="748" t="str">
        <f>'Part VIII-Threshold Criteria'!A260</f>
        <v>In Tab 17-B we have included the Site Plan (Briarcliff Summit is an existing property) and a map of the surrounding amenities.  The area amenities are further detailed in Tab 24: Desirable/Undesirable Site Characteristics.</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1088</v>
      </c>
      <c r="O2314" s="748" t="s">
        <v>2921</v>
      </c>
      <c r="P2314" s="748">
        <f>'Part VIII-Threshold Criteria'!P266</f>
        <v>0</v>
      </c>
    </row>
    <row r="2316" spans="1:17" ht="24" customHeight="1">
      <c r="B2316" s="748" t="s">
        <v>3058</v>
      </c>
      <c r="C2316" s="748" t="s">
        <v>1206</v>
      </c>
      <c r="O2316" s="748" t="s">
        <v>3058</v>
      </c>
      <c r="P2316" s="748" t="str">
        <f>'Part VIII-Threshold Criteria'!P268</f>
        <v>Agree</v>
      </c>
      <c r="Q2316" s="748">
        <f>'Part VIII-Threshold Criteria'!Q268</f>
        <v>0</v>
      </c>
    </row>
    <row r="2317" spans="1:17" ht="24" customHeight="1">
      <c r="B2317" s="748" t="s">
        <v>3061</v>
      </c>
      <c r="C2317" s="748" t="s">
        <v>1207</v>
      </c>
      <c r="O2317" s="748" t="s">
        <v>3061</v>
      </c>
      <c r="P2317" s="748" t="str">
        <f>'Part VIII-Threshold Criteria'!P269</f>
        <v>Agree</v>
      </c>
      <c r="Q2317" s="748">
        <f>'Part VIII-Threshold Criteria'!Q269</f>
        <v>0</v>
      </c>
    </row>
    <row r="2318" spans="1:17" ht="33" customHeight="1">
      <c r="B2318" s="748" t="s">
        <v>1237</v>
      </c>
      <c r="C2318" s="748" t="s">
        <v>1208</v>
      </c>
      <c r="O2318" s="748" t="s">
        <v>3061</v>
      </c>
      <c r="P2318" s="748">
        <f>'Part VIII-Threshold Criteria'!P270</f>
        <v>0</v>
      </c>
      <c r="Q2318" s="748">
        <f>'Part VIII-Threshold Criteria'!Q270</f>
        <v>0</v>
      </c>
    </row>
    <row r="2319" spans="1:17">
      <c r="B2319" s="748" t="s">
        <v>2919</v>
      </c>
    </row>
    <row r="2320" spans="1:17">
      <c r="A2320" s="748" t="str">
        <f>'Part VIII-Threshold Criteria'!A272</f>
        <v xml:space="preserve">We plan to implement as many energy saving and water conversation improvements as we believe are possible for the site given its existing conditions and cost contraints associated with some energy efficiency improvements.  Some of the major improvements we are planning include: new windows, removal of the through wall A/C units, new high efficiency HVAC system, energystar applicances and fixtures and low-flow water fixtures and toliets.  We are open to discussing with DCA any suggestions about additional energy and water saving measures that could be implemented at the property to enchance what we are already planning. </v>
      </c>
    </row>
    <row r="2321" spans="1:17">
      <c r="A2321" s="748" t="str">
        <f>'Part VIII-Threshold Criteria'!A273</f>
        <v xml:space="preserve">Additionally, as documented in Tab 29 - Sustainable Building Certification, we are planning to pursue a certification under Enterprise's 2011 Green Communities Program.  We have included the program checklist in our application which outlines how our renovation plan for Briarcliff Summit will meet the requirements of the program. </v>
      </c>
    </row>
    <row r="2322" spans="1:17">
      <c r="B2322" s="748" t="s">
        <v>2920</v>
      </c>
    </row>
    <row r="2323" spans="1:17">
      <c r="A2323" s="748">
        <f>'Part VIII-Threshold Criteria'!A275</f>
        <v>0</v>
      </c>
    </row>
    <row r="2324" spans="1:17">
      <c r="A2324" s="748">
        <f>'Part VIII-Threshold Criteria'!A276</f>
        <v>0</v>
      </c>
    </row>
    <row r="2326" spans="1:17">
      <c r="A2326" s="748">
        <v>17</v>
      </c>
      <c r="B2326" s="748" t="s">
        <v>876</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1237</v>
      </c>
      <c r="C2329" s="748" t="s">
        <v>2886</v>
      </c>
      <c r="O2329" s="748" t="s">
        <v>1237</v>
      </c>
      <c r="P2329" s="748" t="str">
        <f>'Part VIII-Threshold Criteria'!P281</f>
        <v>Yes</v>
      </c>
      <c r="Q2329" s="748">
        <f>'Part VIII-Threshold Criteria'!Q281</f>
        <v>0</v>
      </c>
    </row>
    <row r="2330" spans="1:17">
      <c r="B2330" s="748" t="s">
        <v>3210</v>
      </c>
      <c r="C2330" s="748" t="s">
        <v>2887</v>
      </c>
      <c r="O2330" s="748" t="s">
        <v>3210</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2919</v>
      </c>
    </row>
    <row r="2333" spans="1:17">
      <c r="A2333" s="748" t="str">
        <f>'Part VIII-Threshold Criteria'!A285</f>
        <v xml:space="preserve">We are currently planning for 7% of the units at the property to modified for mobility and an additional 2% to be modified for individuals with hearing and site impairments.  A waiver request for a 100% of the units to not be adaptable and accessible is currently under review by DCA.  We are open to working with DCA to maximize accessibility where possible at the property within the constraints of its existing conditions and costs associated with modifying units to meet accessible/adaptable requirements.  </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No</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1080</v>
      </c>
      <c r="O2342" s="748" t="s">
        <v>3058</v>
      </c>
      <c r="P2342" s="748" t="str">
        <f>'Part VIII-Threshold Criteria'!P294</f>
        <v>Yes</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2763</v>
      </c>
      <c r="D2345" s="748" t="s">
        <v>1765</v>
      </c>
      <c r="G2345" s="748" t="str">
        <f>'Part VIII-Threshold Criteria'!G297</f>
        <v>Rehab of bldgs eligible for historic preservation credits will maintain or replace w/matching materials, the existing/original exterior finish surfaces</v>
      </c>
      <c r="O2345" s="748" t="s">
        <v>2763</v>
      </c>
      <c r="P2345" s="748" t="str">
        <f>'Part VIII-Threshold Criteria'!P297</f>
        <v>Yes</v>
      </c>
      <c r="Q2345" s="748">
        <f>'Part VIII-Threshold Criteria'!Q297</f>
        <v>0</v>
      </c>
    </row>
    <row r="2346" spans="1:17" ht="13.15" customHeight="1">
      <c r="C2346" s="748" t="s">
        <v>2764</v>
      </c>
      <c r="D2346" s="748" t="s">
        <v>4131</v>
      </c>
      <c r="G2346" s="748" t="str">
        <f>'Part VIII-Threshold Criteria'!G298</f>
        <v>Recreation of existing or missing known historic decorative elements</v>
      </c>
      <c r="O2346" s="748" t="s">
        <v>2764</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15" customHeight="1">
      <c r="C2349" s="748" t="s">
        <v>3569</v>
      </c>
      <c r="D2349" s="748" t="s">
        <v>4132</v>
      </c>
      <c r="G2349" s="748" t="str">
        <f>'Part VIII-Threshold Criteria'!G301</f>
        <v>Preservation of existing trees and vegetation</v>
      </c>
      <c r="O2349" s="748" t="s">
        <v>3569</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2919</v>
      </c>
    </row>
    <row r="2353" spans="1:17">
      <c r="A2353" s="748" t="str">
        <f>'Part VIII-Threshold Criteria'!A305</f>
        <v xml:space="preserve">4 of our 5 architectural waivers are still under review by DCA.  The approved waiver and communications on this matter are included in Tab 4-B.  We are planning $57,500 in renovations per unit at the property and believe we have designed a renovation plan that will yield a high quality property designed for long term operation as superior affordable housing.  We are open to suggestions from DCA on how we could modify the scope of work to improve our existing plan and create the best possible environment for the residents, as is feasible within our current development budget. </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923</v>
      </c>
      <c r="L2363" s="748" t="str">
        <f>'Part VIII-Threshold Criteria'!L315</f>
        <v>Qualified without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f>'Part VIII-Threshold Criteria'!A319</f>
        <v>0</v>
      </c>
    </row>
    <row r="2368" spans="1:17">
      <c r="A2368" s="748">
        <f>'Part VIII-Threshold Criteria'!A320</f>
        <v>0</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2542</v>
      </c>
      <c r="O2377" s="748" t="s">
        <v>3058</v>
      </c>
      <c r="P2377" s="748" t="str">
        <f>'Part VIII-Threshold Criteria'!P329</f>
        <v>Yes</v>
      </c>
      <c r="Q2377" s="748">
        <f>'Part VIII-Threshold Criteria'!Q329</f>
        <v>0</v>
      </c>
    </row>
    <row r="2378" spans="1:17">
      <c r="B2378" s="748" t="s">
        <v>3061</v>
      </c>
      <c r="C2378" s="748" t="s">
        <v>356</v>
      </c>
      <c r="O2378" s="748" t="s">
        <v>3061</v>
      </c>
      <c r="P2378" s="748" t="str">
        <f>'Part VIII-Threshold Criteria'!P330</f>
        <v>No</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3210</v>
      </c>
      <c r="C2380" s="748" t="s">
        <v>1057</v>
      </c>
      <c r="O2380" s="748" t="s">
        <v>3210</v>
      </c>
      <c r="P2380" s="748" t="str">
        <f>'Part VIII-Threshold Criteria'!P332</f>
        <v>Yes</v>
      </c>
      <c r="Q2380" s="748">
        <f>'Part VIII-Threshold Criteria'!Q332</f>
        <v>0</v>
      </c>
    </row>
    <row r="2381" spans="1:17">
      <c r="B2381" s="748" t="s">
        <v>2919</v>
      </c>
    </row>
    <row r="2382" spans="1:17">
      <c r="A2382" s="748" t="str">
        <f>'Part VIII-Threshold Criteria'!A334</f>
        <v>No Uniform Release was included in the Compliance Workbook.  We will complete a Uniform Release if one is provided or required by DCA for the project team.  We have completed and submitted the Multi-State Release Form for each of the states where we have LIHTC properties.  It is our understanding that all of the required Multi-State Releases have been submitted to DCA for review.</v>
      </c>
    </row>
    <row r="2383" spans="1:17">
      <c r="A2383" s="748">
        <f>'Part VIII-Threshold Criteria'!A335</f>
        <v>0</v>
      </c>
    </row>
    <row r="2385" spans="1:17">
      <c r="B2385" s="748" t="s">
        <v>2920</v>
      </c>
    </row>
    <row r="2386" spans="1:17">
      <c r="A2386" s="748">
        <f>'Part VIII-Threshold Criteria'!A338</f>
        <v>0</v>
      </c>
    </row>
    <row r="2387" spans="1:17">
      <c r="A2387" s="748">
        <f>'Part VIII-Threshold Criteria'!A339</f>
        <v>0</v>
      </c>
    </row>
    <row r="2389" spans="1:17">
      <c r="A2389" s="748">
        <v>21</v>
      </c>
      <c r="B2389" s="748" t="s">
        <v>1552</v>
      </c>
      <c r="O2389" s="748" t="s">
        <v>2921</v>
      </c>
      <c r="P2389" s="748">
        <f>'Part VIII-Threshold Criteria'!P341</f>
        <v>0</v>
      </c>
    </row>
    <row r="2390" spans="1:17">
      <c r="B2390" s="748" t="s">
        <v>3058</v>
      </c>
      <c r="C2390" s="748" t="s">
        <v>2082</v>
      </c>
      <c r="J2390" s="748" t="s">
        <v>3058</v>
      </c>
      <c r="K2390" s="748">
        <f>'Part VIII-Threshold Criteria'!K342</f>
        <v>0</v>
      </c>
      <c r="P2390" s="748">
        <f>'Part VIII-Threshold Criteria'!P342</f>
        <v>0</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3210</v>
      </c>
      <c r="C2393" s="748" t="s">
        <v>355</v>
      </c>
      <c r="O2393" s="748" t="s">
        <v>3210</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2919</v>
      </c>
    </row>
    <row r="2397" spans="1:17">
      <c r="A2397" s="748" t="str">
        <f>'Part VIII-Threshold Criteria'!A349</f>
        <v>N/A - This project has no non-profit principals.</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1656</v>
      </c>
      <c r="J2402" s="748" t="s">
        <v>3058</v>
      </c>
      <c r="K2402" s="748">
        <f>'Part VIII-Threshold Criteria'!K354</f>
        <v>0</v>
      </c>
      <c r="P2402" s="748">
        <f>'Part VIII-Threshold Criteria'!P354</f>
        <v>0</v>
      </c>
      <c r="Q2402" s="748">
        <f>'Part VIII-Threshold Criteria'!Q354</f>
        <v>0</v>
      </c>
    </row>
    <row r="2403" spans="1:17">
      <c r="B2403" s="748" t="s">
        <v>3061</v>
      </c>
      <c r="C2403" s="748" t="s">
        <v>2766</v>
      </c>
      <c r="O2403" s="748" t="s">
        <v>3061</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3018</v>
      </c>
      <c r="C2408" s="748" t="s">
        <v>850</v>
      </c>
      <c r="O2408" s="748" t="s">
        <v>3018</v>
      </c>
      <c r="P2408" s="748">
        <f>'Part VIII-Threshold Criteria'!P360</f>
        <v>0</v>
      </c>
      <c r="Q2408" s="748">
        <f>'Part VIII-Threshold Criteria'!Q360</f>
        <v>0</v>
      </c>
    </row>
    <row r="2409" spans="1:17">
      <c r="B2409" s="748" t="s">
        <v>2919</v>
      </c>
    </row>
    <row r="2410" spans="1:17">
      <c r="A2410" s="748" t="str">
        <f>'Part VIII-Threshold Criteria'!A362</f>
        <v>N/A - This project is not applying for a HOME loan and is also not eligible for the CHDO set-aside.</v>
      </c>
    </row>
    <row r="2411" spans="1:17">
      <c r="B2411" s="748" t="s">
        <v>2920</v>
      </c>
    </row>
    <row r="2412" spans="1:17">
      <c r="A2412" s="748">
        <f>'Part VIII-Threshold Criteria'!A364</f>
        <v>0</v>
      </c>
    </row>
    <row r="2414" spans="1:17">
      <c r="A2414" s="748">
        <v>23</v>
      </c>
      <c r="B2414" s="748" t="s">
        <v>1081</v>
      </c>
      <c r="O2414" s="748" t="s">
        <v>2921</v>
      </c>
      <c r="P2414" s="748">
        <f>'Part VIII-Threshold Criteria'!P366</f>
        <v>0</v>
      </c>
    </row>
    <row r="2415" spans="1:17">
      <c r="B2415" s="748" t="s">
        <v>3058</v>
      </c>
      <c r="C2415" s="748" t="s">
        <v>4133</v>
      </c>
      <c r="M2415" s="748" t="s">
        <v>3058</v>
      </c>
      <c r="N2415" s="748" t="str">
        <f>'Part VIII-Threshold Criteria'!N367</f>
        <v>Non-minority</v>
      </c>
      <c r="P2415" s="748" t="str">
        <f>'Part VIII-Threshold Criteria'!P367</f>
        <v>&lt;&lt;Select&gt;&gt;</v>
      </c>
    </row>
    <row r="2416" spans="1:17">
      <c r="B2416" s="748" t="s">
        <v>3061</v>
      </c>
      <c r="C2416" s="748" t="s">
        <v>2</v>
      </c>
      <c r="G2416" s="748" t="s">
        <v>3061</v>
      </c>
      <c r="H2416" s="748" t="str">
        <f>'Part VIII-Threshold Criteria'!H368</f>
        <v>Census Tract: 15</v>
      </c>
      <c r="P2416" s="748" t="str">
        <f>'Part VIII-Threshold Criteria'!P368</f>
        <v>Yes</v>
      </c>
      <c r="Q2416" s="748">
        <f>'Part VIII-Threshold Criteria'!Q368</f>
        <v>0</v>
      </c>
    </row>
    <row r="2417" spans="1:17">
      <c r="B2417" s="748" t="s">
        <v>1237</v>
      </c>
      <c r="C2417" s="748" t="s">
        <v>2124</v>
      </c>
      <c r="O2417" s="748" t="s">
        <v>1237</v>
      </c>
      <c r="P2417" s="748" t="str">
        <f>'Part VIII-Threshold Criteria'!P369</f>
        <v>Yes</v>
      </c>
      <c r="Q2417" s="748">
        <f>'Part VIII-Threshold Criteria'!Q369</f>
        <v>0</v>
      </c>
    </row>
    <row r="2418" spans="1:17">
      <c r="B2418" s="748" t="s">
        <v>2919</v>
      </c>
    </row>
    <row r="2419" spans="1:17">
      <c r="A2419" s="748" t="str">
        <f>'Part VIII-Threshold Criteria'!A371</f>
        <v>23-C: The property is currently operating under a HAP contract which is included in Tab 2-F as part of the Preservation Set-Aside documentation.</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2528</v>
      </c>
      <c r="F2426" s="748" t="s">
        <v>1056</v>
      </c>
      <c r="O2426" s="748" t="s">
        <v>2921</v>
      </c>
      <c r="P2426" s="748">
        <f>'Part VIII-Threshold Criteria'!P378</f>
        <v>0</v>
      </c>
    </row>
    <row r="2427" spans="1:17">
      <c r="B2427" s="748" t="s">
        <v>3058</v>
      </c>
      <c r="C2427" s="748" t="s">
        <v>2125</v>
      </c>
      <c r="O2427" s="748" t="s">
        <v>3058</v>
      </c>
      <c r="P2427" s="748" t="str">
        <f>'Part VIII-Threshold Criteria'!P379</f>
        <v>Yes</v>
      </c>
      <c r="Q2427" s="748">
        <f>'Part VIII-Threshold Criteria'!Q379</f>
        <v>0</v>
      </c>
    </row>
    <row r="2428" spans="1:17">
      <c r="B2428" s="748" t="s">
        <v>3061</v>
      </c>
      <c r="C2428" s="748" t="s">
        <v>1240</v>
      </c>
      <c r="O2428" s="748" t="s">
        <v>3061</v>
      </c>
      <c r="P2428" s="748">
        <f>'Part VIII-Threshold Criteria'!P380</f>
        <v>0</v>
      </c>
      <c r="Q2428" s="748">
        <f>'Part VIII-Threshold Criteria'!Q380</f>
        <v>0</v>
      </c>
    </row>
    <row r="2429" spans="1:17">
      <c r="B2429" s="748" t="s">
        <v>1237</v>
      </c>
      <c r="C2429" s="748" t="s">
        <v>1241</v>
      </c>
      <c r="O2429" s="748" t="s">
        <v>1237</v>
      </c>
      <c r="P2429" s="748">
        <f>'Part VIII-Threshold Criteria'!P381</f>
        <v>0</v>
      </c>
      <c r="Q2429" s="748">
        <f>'Part VIII-Threshold Criteria'!Q381</f>
        <v>0</v>
      </c>
    </row>
    <row r="2430" spans="1:17">
      <c r="B2430" s="748" t="s">
        <v>3210</v>
      </c>
      <c r="C2430" s="748" t="s">
        <v>876</v>
      </c>
      <c r="O2430" s="748" t="s">
        <v>3210</v>
      </c>
      <c r="P2430" s="748">
        <f>'Part VIII-Threshold Criteria'!P382</f>
        <v>0</v>
      </c>
      <c r="Q2430" s="748">
        <f>'Part VIII-Threshold Criteria'!Q382</f>
        <v>0</v>
      </c>
    </row>
    <row r="2431" spans="1:17">
      <c r="B2431" s="748" t="s">
        <v>2761</v>
      </c>
      <c r="C2431" s="748" t="s">
        <v>3173</v>
      </c>
      <c r="G2431" s="748" t="s">
        <v>2761</v>
      </c>
      <c r="H2431" s="748">
        <f>'Part VIII-Threshold Criteria'!H383</f>
        <v>0</v>
      </c>
      <c r="P2431" s="748">
        <f>'Part VIII-Threshold Criteria'!P383</f>
        <v>0</v>
      </c>
      <c r="Q2431" s="748">
        <f>'Part VIII-Threshold Criteria'!Q383</f>
        <v>0</v>
      </c>
    </row>
    <row r="2432" spans="1:17">
      <c r="B2432" s="748" t="s">
        <v>2919</v>
      </c>
    </row>
    <row r="2433" spans="1:17">
      <c r="A2433" s="748">
        <f>'Part VIII-Threshold Criteria'!A385</f>
        <v>0</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4134</v>
      </c>
      <c r="O2438" s="748" t="s">
        <v>3058</v>
      </c>
      <c r="P2438" s="748" t="str">
        <f>'Part VIII-Threshold Criteria'!P390</f>
        <v>Agree</v>
      </c>
      <c r="Q2438" s="748">
        <f>'Part VIII-Threshold Criteria'!Q390</f>
        <v>0</v>
      </c>
    </row>
    <row r="2439" spans="1:17">
      <c r="B2439" s="748" t="s">
        <v>3061</v>
      </c>
      <c r="C2439" s="748" t="s">
        <v>851</v>
      </c>
      <c r="O2439" s="748" t="s">
        <v>3061</v>
      </c>
      <c r="P2439" s="748" t="str">
        <f>'Part VIII-Threshold Criteria'!P391</f>
        <v>Yes</v>
      </c>
      <c r="Q2439" s="748">
        <f>'Part VIII-Threshold Criteria'!Q391</f>
        <v>0</v>
      </c>
    </row>
    <row r="2440" spans="1:17">
      <c r="B2440" s="748" t="s">
        <v>2919</v>
      </c>
      <c r="K2440" s="748" t="s">
        <v>2920</v>
      </c>
    </row>
    <row r="2441" spans="1:17">
      <c r="A2441" s="748" t="str">
        <f>'Part VIII-Threshold Criteria'!A393</f>
        <v>Northgate Village is listed on the Georga Housing search website.</v>
      </c>
      <c r="K2441" s="748">
        <f>'Part VIII-Threshold Criteria'!K393</f>
        <v>0</v>
      </c>
    </row>
    <row r="2443" spans="1:17">
      <c r="A2443" s="748">
        <v>26</v>
      </c>
      <c r="B2443" s="748" t="s">
        <v>2003</v>
      </c>
      <c r="O2443" s="748" t="s">
        <v>2921</v>
      </c>
      <c r="P2443" s="748">
        <f>'Part VIII-Threshold Criteria'!P395</f>
        <v>0</v>
      </c>
    </row>
    <row r="2444" spans="1:17">
      <c r="B2444" s="748" t="s">
        <v>3058</v>
      </c>
      <c r="C2444" s="748" t="s">
        <v>1242</v>
      </c>
      <c r="O2444" s="748" t="s">
        <v>3058</v>
      </c>
      <c r="P2444" s="748" t="str">
        <f>'Part VIII-Threshold Criteria'!P396</f>
        <v>Yes</v>
      </c>
      <c r="Q2444" s="748">
        <f>'Part VIII-Threshold Criteria'!Q396</f>
        <v>0</v>
      </c>
    </row>
    <row r="2445" spans="1:17">
      <c r="B2445" s="748" t="s">
        <v>3061</v>
      </c>
      <c r="C2445" s="748" t="s">
        <v>3312</v>
      </c>
      <c r="O2445" s="748" t="s">
        <v>2169</v>
      </c>
      <c r="P2445" s="748" t="str">
        <f>'Part VIII-Threshold Criteria'!P397</f>
        <v>No</v>
      </c>
      <c r="Q2445" s="748">
        <f>'Part VIII-Threshold Criteria'!Q397</f>
        <v>0</v>
      </c>
    </row>
    <row r="2446" spans="1:17">
      <c r="C2446" s="748" t="s">
        <v>2225</v>
      </c>
    </row>
    <row r="2447" spans="1:17">
      <c r="C2447" s="748" t="s">
        <v>3313</v>
      </c>
      <c r="O2447" s="748" t="s">
        <v>2764</v>
      </c>
      <c r="P2447" s="748" t="str">
        <f>'Part VIII-Threshold Criteria'!P399</f>
        <v>No</v>
      </c>
      <c r="Q2447" s="748">
        <f>'Part VIII-Threshold Criteria'!Q399</f>
        <v>0</v>
      </c>
    </row>
    <row r="2448" spans="1:17">
      <c r="B2448" s="748" t="s">
        <v>1237</v>
      </c>
      <c r="C2448" s="748" t="s">
        <v>3311</v>
      </c>
      <c r="O2448" s="748" t="s">
        <v>1237</v>
      </c>
      <c r="P2448" s="748" t="str">
        <f>'Part VIII-Threshold Criteria'!P400</f>
        <v>No</v>
      </c>
      <c r="Q2448" s="748">
        <f>'Part VIII-Threshold Criteria'!Q400</f>
        <v>0</v>
      </c>
    </row>
    <row r="2449" spans="1:17">
      <c r="B2449" s="748" t="s">
        <v>3210</v>
      </c>
      <c r="C2449" s="748" t="s">
        <v>151</v>
      </c>
      <c r="O2449" s="748" t="s">
        <v>3210</v>
      </c>
    </row>
    <row r="2450" spans="1:17">
      <c r="C2450" s="748" t="s">
        <v>3314</v>
      </c>
      <c r="O2450" s="748" t="s">
        <v>2763</v>
      </c>
      <c r="P2450" s="748" t="str">
        <f>'Part VIII-Threshold Criteria'!P402</f>
        <v>None</v>
      </c>
      <c r="Q2450" s="748" t="str">
        <f>'Part VIII-Threshold Criteria'!Q402</f>
        <v xml:space="preserve"> </v>
      </c>
    </row>
    <row r="2451" spans="1:17">
      <c r="C2451" s="748" t="s">
        <v>3315</v>
      </c>
      <c r="O2451" s="748" t="s">
        <v>2764</v>
      </c>
      <c r="P2451" s="748" t="str">
        <f>'Part VIII-Threshold Criteria'!P403</f>
        <v>None</v>
      </c>
      <c r="Q2451" s="748">
        <f>'Part VIII-Threshold Criteria'!Q403</f>
        <v>0</v>
      </c>
    </row>
    <row r="2452" spans="1:17">
      <c r="C2452" s="748" t="s">
        <v>3316</v>
      </c>
      <c r="O2452" s="748" t="s">
        <v>2765</v>
      </c>
      <c r="P2452" s="748">
        <f>'Part VIII-Threshold Criteria'!P404</f>
        <v>8</v>
      </c>
      <c r="Q2452" s="748" t="str">
        <f>'Part VIII-Threshold Criteria'!Q404</f>
        <v xml:space="preserve"> </v>
      </c>
    </row>
    <row r="2453" spans="1:17">
      <c r="C2453" s="748" t="s">
        <v>3317</v>
      </c>
      <c r="O2453" s="748" t="s">
        <v>3569</v>
      </c>
      <c r="P2453" s="748">
        <f>'Part VIII-Threshold Criteria'!P405</f>
        <v>1</v>
      </c>
      <c r="Q2453" s="748" t="str">
        <f>'Part VIII-Threshold Criteria'!Q405</f>
        <v xml:space="preserve"> </v>
      </c>
    </row>
    <row r="2454" spans="1:17">
      <c r="C2454" s="748" t="s">
        <v>3318</v>
      </c>
      <c r="O2454" s="748" t="s">
        <v>2302</v>
      </c>
      <c r="P2454" s="748" t="str">
        <f>'Part VIII-Threshold Criteria'!P406</f>
        <v>None</v>
      </c>
      <c r="Q2454" s="748" t="str">
        <f>'Part VIII-Threshold Criteria'!Q406</f>
        <v xml:space="preserve"> </v>
      </c>
    </row>
    <row r="2455" spans="1:17">
      <c r="B2455" s="748" t="s">
        <v>2761</v>
      </c>
      <c r="C2455" s="748" t="s">
        <v>3612</v>
      </c>
      <c r="O2455" s="748" t="s">
        <v>2761</v>
      </c>
    </row>
    <row r="2456" spans="1:17">
      <c r="C2456" s="748" t="s">
        <v>3319</v>
      </c>
      <c r="O2456" s="748" t="s">
        <v>2763</v>
      </c>
      <c r="P2456" s="748" t="str">
        <f>'Part VIII-Threshold Criteria'!P408</f>
        <v>No</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t="str">
        <f>'Part VIII-Threshold Criteria'!A413</f>
        <v>The project is not subject to the Uniform Relocation Act as the number of affordable units at the property will remain unchanged and none of the residents will be permanently displaced as a result of the renovations we have planned for the property.  All tenants will be relocated within the building itself during renovations to similar available/vacant units as described in the relocation plan.  No resident will be permanently relocated off-site or permanently displaced during renovation.  Consequently, replacement housing was not identified as part of our relocation plan (Tab 22) as it is not required based on how we will conduct the renovation of Briarcliff Summit Apartments.</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886</v>
      </c>
      <c r="O2469" s="748" t="s">
        <v>3058</v>
      </c>
      <c r="P2469" s="748" t="str">
        <f>'Part VIII-Threshold Criteria'!P421</f>
        <v>Agree</v>
      </c>
      <c r="Q2469" s="748">
        <f>'Part VIII-Threshold Criteria'!Q421</f>
        <v>0</v>
      </c>
    </row>
    <row r="2470" spans="1:17">
      <c r="B2470" s="748" t="s">
        <v>3061</v>
      </c>
      <c r="C2470" s="748" t="s">
        <v>887</v>
      </c>
      <c r="O2470" s="748" t="s">
        <v>3061</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2919</v>
      </c>
    </row>
    <row r="2473" spans="1:17">
      <c r="A2473" s="748">
        <f>'Part VIII-Threshold Criteria'!A425</f>
        <v>0</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2921</v>
      </c>
      <c r="P2481" s="748">
        <f>'Part VIII-Threshold Criteria'!P433</f>
        <v>0</v>
      </c>
    </row>
    <row r="2482" spans="1:16">
      <c r="B2482" s="748" t="s">
        <v>2919</v>
      </c>
    </row>
    <row r="2483" spans="1:16">
      <c r="A2483" s="748">
        <f>'Part VIII-Threshold Criteria'!A435</f>
        <v>0</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2011-015 Briarcliff Summit Apartments , ,  County</v>
      </c>
    </row>
    <row r="2495" spans="1:16">
      <c r="M2495" s="748" t="s">
        <v>3335</v>
      </c>
      <c r="O2495" s="748" t="s">
        <v>3334</v>
      </c>
      <c r="P2495" s="748" t="s">
        <v>334</v>
      </c>
    </row>
    <row r="2496" spans="1:16">
      <c r="M2496" s="748" t="s">
        <v>104</v>
      </c>
      <c r="O2496" s="748" t="s">
        <v>3335</v>
      </c>
      <c r="P2496" s="748" t="s">
        <v>3335</v>
      </c>
    </row>
    <row r="2498" spans="1:17">
      <c r="L2498" s="748" t="s">
        <v>1886</v>
      </c>
      <c r="M2498" s="748">
        <v>108</v>
      </c>
      <c r="O2498" s="748">
        <f>O2786</f>
        <v>56</v>
      </c>
      <c r="P2498" s="748">
        <f>P2786</f>
        <v>10</v>
      </c>
    </row>
    <row r="2500" spans="1:17">
      <c r="A2500" s="748" t="s">
        <v>3062</v>
      </c>
      <c r="B2500" s="748" t="s">
        <v>1670</v>
      </c>
      <c r="H2500" s="748" t="s">
        <v>2522</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1214</v>
      </c>
      <c r="F2503" s="748" t="s">
        <v>3893</v>
      </c>
      <c r="G2503" s="748">
        <f>K2509</f>
        <v>0</v>
      </c>
      <c r="H2503" s="748" t="s">
        <v>4135</v>
      </c>
      <c r="M2503" s="748">
        <v>0</v>
      </c>
      <c r="N2503" s="748" t="s">
        <v>3061</v>
      </c>
      <c r="O2503" s="748">
        <f>'Part IX A-Scoring Criteria'!O11</f>
        <v>0</v>
      </c>
      <c r="P2503" s="748">
        <f>'Part IX A-Scoring Criteria'!P11</f>
        <v>0</v>
      </c>
    </row>
    <row r="2504" spans="1:17">
      <c r="A2504" s="748" t="s">
        <v>1237</v>
      </c>
      <c r="B2504" s="748" t="s">
        <v>3208</v>
      </c>
      <c r="F2504" s="748" t="s">
        <v>3893</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f>'Part IX A-Scoring Criteria'!A14</f>
        <v>0</v>
      </c>
      <c r="Q2506" s="748" t="s">
        <v>1931</v>
      </c>
    </row>
    <row r="2507" spans="1:17" ht="13.15" customHeight="1">
      <c r="A2507" s="748">
        <f>'Part IX A-Scoring Criteria'!A15</f>
        <v>0</v>
      </c>
    </row>
    <row r="2508" spans="1:17" ht="13.15" customHeight="1">
      <c r="A2508" s="748" t="s">
        <v>2920</v>
      </c>
      <c r="F2508" s="748" t="s">
        <v>2738</v>
      </c>
      <c r="K2508" s="748" t="s">
        <v>2738</v>
      </c>
      <c r="P2508" s="748" t="s">
        <v>2738</v>
      </c>
    </row>
    <row r="2509" spans="1:17">
      <c r="A2509" s="748" t="s">
        <v>3637</v>
      </c>
      <c r="E2509" s="748" t="s">
        <v>784</v>
      </c>
      <c r="F2509" s="748">
        <f>SUM(F2510:F2521)</f>
        <v>0</v>
      </c>
      <c r="G2509" s="748" t="s">
        <v>3638</v>
      </c>
      <c r="J2509" s="748" t="s">
        <v>784</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31</v>
      </c>
      <c r="L2524" s="748" t="s">
        <v>1938</v>
      </c>
      <c r="M2524" s="748">
        <f>IF(OR('Part VI-Revenues &amp; Expenses'!$M$61="", 'Part VI-Revenues &amp; Expenses'!$M$61=0),"",J2524/'Part VI-Revenues &amp; Expenses'!$M$61)</f>
        <v>0.155</v>
      </c>
    </row>
    <row r="2525" spans="1:18">
      <c r="B2525" s="748" t="s">
        <v>333</v>
      </c>
    </row>
    <row r="2526" spans="1:18">
      <c r="A2526" s="748" t="str">
        <f>'Part IX A-Scoring Criteria'!A34</f>
        <v xml:space="preserve">31 units at the property will be designated to serve individuals earning 50% or less of AMI and the remaining 169 units will be at 60% of AMI.  The property is also covered by a project-based Section 8 HAP contract, which covers 99% of the units.  Currently, 100% of the residents qualify and utilize the Section 8 HAP subsidy.  Given the elderly (62+) and disabled population at the property, most of who are living on a fixed-income, we expect that 100% of the population will continue to meet Tax Credit and Section 8 eligibility criteria.  Please see Part VI Section I Rent Schedule for documentation of which units will be designated to serve 50% and 60% residents.  </v>
      </c>
    </row>
    <row r="2527" spans="1:18">
      <c r="B2527" s="748" t="s">
        <v>2920</v>
      </c>
    </row>
    <row r="2528" spans="1:18">
      <c r="A2528" s="748">
        <f>'Part IX A-Scoring Criteria'!A36</f>
        <v>0</v>
      </c>
    </row>
    <row r="2530" spans="1:17">
      <c r="A2530" s="748" t="s">
        <v>3821</v>
      </c>
      <c r="B2530" s="748" t="s">
        <v>2928</v>
      </c>
      <c r="H2530" s="748" t="s">
        <v>925</v>
      </c>
      <c r="M2530" s="748">
        <v>12</v>
      </c>
      <c r="O2530" s="748">
        <f>'Part IX A-Scoring Criteria'!O38</f>
        <v>9</v>
      </c>
      <c r="P2530" s="748">
        <f>'Part IX A-Scoring Criteria'!P38</f>
        <v>0</v>
      </c>
      <c r="Q2530" s="748" t="s">
        <v>651</v>
      </c>
    </row>
    <row r="2532" spans="1:17">
      <c r="M2532" s="748">
        <v>10</v>
      </c>
      <c r="O2532" s="748">
        <f>'Part IX A-Scoring Criteria'!O40</f>
        <v>9</v>
      </c>
      <c r="P2532" s="748">
        <f>'Part IX A-Scoring Criteria'!P40</f>
        <v>0</v>
      </c>
      <c r="Q2532" s="748" t="s">
        <v>924</v>
      </c>
    </row>
    <row r="2533" spans="1:17">
      <c r="A2533" s="748" t="s">
        <v>3058</v>
      </c>
      <c r="B2533" s="748" t="s">
        <v>2930</v>
      </c>
      <c r="E2533" s="748" t="s">
        <v>2933</v>
      </c>
      <c r="G2533" s="748" t="s">
        <v>2929</v>
      </c>
      <c r="L2533" s="748">
        <f>'Part IX A-Scoring Criteria'!L41</f>
        <v>0</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0</v>
      </c>
      <c r="P2534" s="748">
        <f>'Part IX A-Scoring Criteria'!P42</f>
        <v>0</v>
      </c>
    </row>
    <row r="2535" spans="1:17">
      <c r="A2535" s="748" t="s">
        <v>1237</v>
      </c>
      <c r="B2535" s="748" t="s">
        <v>2932</v>
      </c>
      <c r="E2535" s="748" t="s">
        <v>624</v>
      </c>
      <c r="G2535" s="748" t="s">
        <v>625</v>
      </c>
      <c r="L2535" s="748">
        <f>'Part IX A-Scoring Criteria'!L43</f>
        <v>0</v>
      </c>
      <c r="M2535" s="748" t="s">
        <v>1899</v>
      </c>
      <c r="N2535" s="748" t="s">
        <v>1237</v>
      </c>
      <c r="O2535" s="748">
        <f>'Part IX A-Scoring Criteria'!O43</f>
        <v>1</v>
      </c>
      <c r="P2535" s="748">
        <f>'Part IX A-Scoring Criteria'!P43</f>
        <v>0</v>
      </c>
    </row>
    <row r="2537" spans="1:17">
      <c r="B2537" s="748" t="s">
        <v>333</v>
      </c>
    </row>
    <row r="2538" spans="1:17">
      <c r="A2538" s="748" t="str">
        <f>'Part IX A-Scoring Criteria'!A46</f>
        <v>The site is very well located within the community and there are many desirable amenities and services within walking distance of the property.  The property is located at the corner of Ponce de Leon Avenue and Highland Avenue in Atlanta.  This is a busy intersection and a major throughway to the City of Atlanta and the Virginia Highland Neighborhood.  The loss of 1 point for "Undesirable Site" is due to the fact the property has an exterior noise level of 72db, resulting  from its close proximity to the roadway.  The desirable/undesirable documentation is located under Tab 24 - Site Characteristics.</v>
      </c>
      <c r="Q2538" s="748" t="s">
        <v>1931</v>
      </c>
    </row>
    <row r="2539" spans="1:17" ht="13.15" customHeight="1">
      <c r="A2539" s="748">
        <f>'Part IX A-Scoring Criteria'!A47</f>
        <v>0</v>
      </c>
    </row>
    <row r="2540" spans="1:17" ht="13.15" customHeight="1">
      <c r="A2540" s="748">
        <f>'Part IX A-Scoring Criteria'!A48</f>
        <v>0</v>
      </c>
    </row>
    <row r="2541" spans="1:17">
      <c r="B2541" s="748" t="s">
        <v>2920</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1884</v>
      </c>
      <c r="B2547" s="748" t="s">
        <v>1939</v>
      </c>
      <c r="H2547" s="748" t="s">
        <v>2939</v>
      </c>
      <c r="M2547" s="748">
        <v>2</v>
      </c>
      <c r="O2547" s="748">
        <f>MIN($M2547,(O2548+O2549))</f>
        <v>1</v>
      </c>
      <c r="P2547" s="748">
        <f>MIN($M2547,(P2548+P2549))</f>
        <v>0</v>
      </c>
      <c r="Q2547" s="748" t="s">
        <v>651</v>
      </c>
    </row>
    <row r="2548" spans="1:17">
      <c r="A2548" s="748" t="s">
        <v>3058</v>
      </c>
      <c r="B2548" s="748" t="s">
        <v>1708</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1709</v>
      </c>
      <c r="L2549" s="748" t="str">
        <f>IF(OR($O2549=$M2549,$O2549=0,$O2549=""),"","* * Check Score! * *")</f>
        <v/>
      </c>
      <c r="M2549" s="748">
        <v>1</v>
      </c>
      <c r="N2549" s="748" t="s">
        <v>3061</v>
      </c>
      <c r="O2549" s="748">
        <f>'Part IX A-Scoring Criteria'!O57</f>
        <v>1</v>
      </c>
      <c r="P2549" s="748">
        <f>'Part IX A-Scoring Criteria'!P57</f>
        <v>0</v>
      </c>
    </row>
    <row r="2550" spans="1:17">
      <c r="B2550" s="748" t="s">
        <v>333</v>
      </c>
    </row>
    <row r="2551" spans="1:17">
      <c r="A2551" s="748" t="str">
        <f>'Part IX A-Scoring Criteria'!A59</f>
        <v>There is a MARTA Bus Stop located adjacent to the property along Ponce De Leon Avenue.  Documentation of the Bus Stop is included under Tab 25.</v>
      </c>
    </row>
    <row r="2552" spans="1:17">
      <c r="B2552" s="748" t="s">
        <v>2920</v>
      </c>
    </row>
    <row r="2553" spans="1:17">
      <c r="A2553" s="748">
        <f>'Part IX A-Scoring Criteria'!A61</f>
        <v>0</v>
      </c>
    </row>
    <row r="2554" spans="1:17">
      <c r="A2554" s="748">
        <f>'Part IX A-Scoring Criteria'!A62</f>
        <v>0</v>
      </c>
    </row>
    <row r="2556" spans="1:17" ht="12.6" customHeight="1">
      <c r="A2556" s="748" t="s">
        <v>1885</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2089</v>
      </c>
      <c r="I2566" s="748" t="s">
        <v>2939</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5" customHeight="1">
      <c r="B2568" s="748" t="s">
        <v>333</v>
      </c>
    </row>
    <row r="2569" spans="1:18">
      <c r="A2569" s="748">
        <f>'Part IX A-Scoring Criteria'!A77</f>
        <v>0</v>
      </c>
    </row>
    <row r="2570" spans="1:18">
      <c r="B2570" s="748" t="s">
        <v>2920</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EF Green Communities</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2657</v>
      </c>
      <c r="O2575" s="748" t="str">
        <f>'Part IX A-Scoring Criteria'!O83</f>
        <v>Yes</v>
      </c>
      <c r="P2575" s="748">
        <f>'Part IX A-Scoring Criteria'!P83</f>
        <v>0</v>
      </c>
    </row>
    <row r="2576" spans="1:18" ht="14.45" customHeight="1">
      <c r="B2576" s="748" t="s">
        <v>3058</v>
      </c>
      <c r="C2576" s="748" t="s">
        <v>1568</v>
      </c>
      <c r="M2576" s="748" t="str">
        <f>IF(AND($I$89="Stable Communities &lt; 10%",O2576=""), "X","")</f>
        <v/>
      </c>
      <c r="N2576" s="748" t="s">
        <v>3058</v>
      </c>
      <c r="O2576" s="748" t="str">
        <f>'Part IX A-Scoring Criteria'!O84</f>
        <v>Agree</v>
      </c>
      <c r="P2576" s="748">
        <f>'Part IX A-Scoring Criteria'!P84</f>
        <v>0</v>
      </c>
    </row>
    <row r="2577" spans="1:17" ht="13.15" customHeight="1">
      <c r="B2577" s="748" t="s">
        <v>3061</v>
      </c>
      <c r="C2577" s="748" t="s">
        <v>1569</v>
      </c>
      <c r="M2577" s="748" t="str">
        <f>IF(AND($I$89="Stable Communities &lt; 10%",O2577=""), "X","")</f>
        <v/>
      </c>
      <c r="N2577" s="748" t="s">
        <v>3061</v>
      </c>
      <c r="O2577" s="748" t="str">
        <f>'Part IX A-Scoring Criteria'!O85</f>
        <v>Agree</v>
      </c>
      <c r="P2577" s="748">
        <f>'Part IX A-Scoring Criteria'!P85</f>
        <v>0</v>
      </c>
    </row>
    <row r="2578" spans="1:17" ht="13.15" customHeight="1">
      <c r="B2578" s="748" t="s">
        <v>333</v>
      </c>
    </row>
    <row r="2579" spans="1:17">
      <c r="A2579" s="748" t="str">
        <f>'Part IX A-Scoring Criteria'!A87</f>
        <v>We will be pursing a certification under Enterprise's 2011 Green Communities Criteria.  We have designed our renovation scope to meet this critera and documentation of our ability to participate in the program is included under Tab 29.</v>
      </c>
    </row>
    <row r="2580" spans="1:17">
      <c r="A2580" s="748">
        <f>'Part IX A-Scoring Criteria'!A88</f>
        <v>0</v>
      </c>
    </row>
    <row r="2581" spans="1:17">
      <c r="B2581" s="748" t="s">
        <v>2920</v>
      </c>
    </row>
    <row r="2582" spans="1:17">
      <c r="A2582" s="748">
        <f>'Part IX A-Scoring Criteria'!A90</f>
        <v>0</v>
      </c>
    </row>
    <row r="2583" spans="1:17">
      <c r="A2583" s="748">
        <f>'Part IX A-Scoring Criteria'!A91</f>
        <v>0</v>
      </c>
    </row>
    <row r="2585" spans="1:17">
      <c r="A2585" s="748" t="s">
        <v>743</v>
      </c>
      <c r="B2585" s="748" t="s">
        <v>3639</v>
      </c>
      <c r="I2585" s="748" t="str">
        <f>'Part IX A-Scoring Criteria'!I93</f>
        <v>Stable Communities &lt; 20%</v>
      </c>
      <c r="M2585" s="748">
        <v>6</v>
      </c>
      <c r="O2585" s="748">
        <f>'Part IX A-Scoring Criteria'!O93</f>
        <v>2</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
      </c>
      <c r="B2588" s="748" t="s">
        <v>3062</v>
      </c>
      <c r="C2588" s="748" t="s">
        <v>866</v>
      </c>
      <c r="O2588" s="748" t="s">
        <v>3793</v>
      </c>
      <c r="P2588" s="748" t="s">
        <v>3793</v>
      </c>
    </row>
    <row r="2589" spans="1:17">
      <c r="B2589" s="748" t="s">
        <v>3680</v>
      </c>
      <c r="C2589" s="748" t="s">
        <v>3620</v>
      </c>
      <c r="G2589" s="748" t="s">
        <v>3621</v>
      </c>
      <c r="M2589" s="748" t="str">
        <f>IF(AND($I$89="Stable Communities &lt; 10%",O2589=""), "X","")</f>
        <v/>
      </c>
      <c r="N2589" s="748" t="s">
        <v>3680</v>
      </c>
      <c r="O2589" s="748">
        <f>'Part IX A-Scoring Criteria'!O97</f>
        <v>0</v>
      </c>
      <c r="P2589" s="748">
        <f>'Part IX A-Scoring Criteria'!P97</f>
        <v>0</v>
      </c>
    </row>
    <row r="2590" spans="1:17">
      <c r="B2590" s="748" t="s">
        <v>3681</v>
      </c>
      <c r="C2590" s="748" t="s">
        <v>3622</v>
      </c>
      <c r="G2590" s="748" t="s">
        <v>3623</v>
      </c>
      <c r="M2590" s="748" t="str">
        <f>IF(AND($I$89="Stable Communities &lt; 10%",O2590=""), "X","")</f>
        <v/>
      </c>
      <c r="N2590" s="748" t="s">
        <v>3681</v>
      </c>
      <c r="O2590" s="748">
        <f>'Part IX A-Scoring Criteria'!O98</f>
        <v>0</v>
      </c>
      <c r="P2590" s="748">
        <f>'Part IX A-Scoring Criteria'!P98</f>
        <v>0</v>
      </c>
    </row>
    <row r="2591" spans="1:17">
      <c r="B2591" s="748" t="s">
        <v>3684</v>
      </c>
      <c r="C2591" s="748" t="s">
        <v>2189</v>
      </c>
      <c r="M2591" s="748" t="str">
        <f>IF(AND($I$89="Stable Communities &lt; 10%",O2591=""), "X","")</f>
        <v/>
      </c>
      <c r="N2591" s="748" t="s">
        <v>3684</v>
      </c>
      <c r="O2591" s="748">
        <f>'Part IX A-Scoring Criteria'!O99</f>
        <v>0</v>
      </c>
      <c r="P2591" s="748">
        <f>'Part IX A-Scoring Criteria'!P99</f>
        <v>0</v>
      </c>
    </row>
    <row r="2592" spans="1:17">
      <c r="A2592" s="748" t="str">
        <f>'Part IX A-Scoring Criteria'!A100</f>
        <v>X</v>
      </c>
      <c r="B2592" s="748" t="s">
        <v>3064</v>
      </c>
      <c r="C2592" s="748" t="s">
        <v>866</v>
      </c>
      <c r="O2592" s="748" t="s">
        <v>3793</v>
      </c>
      <c r="P2592" s="748" t="s">
        <v>3793</v>
      </c>
    </row>
    <row r="2593" spans="1:16">
      <c r="B2593" s="748" t="s">
        <v>3680</v>
      </c>
      <c r="C2593" s="748" t="s">
        <v>3705</v>
      </c>
      <c r="G2593" s="748" t="s">
        <v>3624</v>
      </c>
      <c r="M2593" s="748" t="str">
        <f>IF(AND($I$89="Stable Communities &lt; 20%",O2593=""), "X","")</f>
        <v/>
      </c>
      <c r="N2593" s="748" t="s">
        <v>3680</v>
      </c>
      <c r="O2593" s="748" t="str">
        <f>'Part IX A-Scoring Criteria'!O101</f>
        <v>Yes</v>
      </c>
      <c r="P2593" s="748">
        <f>'Part IX A-Scoring Criteria'!P101</f>
        <v>0</v>
      </c>
    </row>
    <row r="2594" spans="1:16">
      <c r="B2594" s="748" t="s">
        <v>3681</v>
      </c>
      <c r="C2594" s="748" t="s">
        <v>3622</v>
      </c>
      <c r="G2594" s="748" t="s">
        <v>3623</v>
      </c>
      <c r="M2594" s="748" t="str">
        <f>IF(AND($I$89="Stable Communities &lt; 20%",O2594=""), "X","")</f>
        <v/>
      </c>
      <c r="N2594" s="748" t="s">
        <v>3681</v>
      </c>
      <c r="O2594" s="748" t="str">
        <f>'Part IX A-Scoring Criteria'!O102</f>
        <v>Yes</v>
      </c>
      <c r="P2594" s="748">
        <f>'Part IX A-Scoring Criteria'!P102</f>
        <v>0</v>
      </c>
    </row>
    <row r="2595" spans="1:16">
      <c r="B2595" s="748" t="s">
        <v>3684</v>
      </c>
      <c r="C2595" s="748" t="s">
        <v>2189</v>
      </c>
      <c r="M2595" s="748" t="str">
        <f>IF(AND($I$89="Stable Communities &lt; 20%",O2595=""), "X","")</f>
        <v/>
      </c>
      <c r="N2595" s="748" t="s">
        <v>3684</v>
      </c>
      <c r="O2595" s="748" t="str">
        <f>'Part IX A-Scoring Criteria'!O103</f>
        <v>Yes</v>
      </c>
      <c r="P2595" s="748">
        <f>'Part IX A-Scoring Criteria'!P103</f>
        <v>0</v>
      </c>
    </row>
    <row r="2596" spans="1:16">
      <c r="A2596" s="748" t="s">
        <v>3061</v>
      </c>
      <c r="B2596" s="748" t="s">
        <v>346</v>
      </c>
      <c r="M2596" s="748">
        <v>6</v>
      </c>
    </row>
    <row r="2597" spans="1:16">
      <c r="A2597" s="748" t="str">
        <f>'Part IX A-Scoring Criteria'!A105</f>
        <v/>
      </c>
      <c r="B2597" s="748" t="s">
        <v>3062</v>
      </c>
      <c r="C2597" s="748" t="s">
        <v>4136</v>
      </c>
      <c r="O2597" s="748" t="s">
        <v>3793</v>
      </c>
      <c r="P2597" s="748" t="s">
        <v>3793</v>
      </c>
    </row>
    <row r="2598" spans="1:16">
      <c r="B2598" s="748" t="s">
        <v>3680</v>
      </c>
      <c r="C2598" s="748" t="s">
        <v>912</v>
      </c>
      <c r="M2598" s="748" t="str">
        <f>IF(AND($I$89="HOPE VI Initiative",O2598=""), "X","")</f>
        <v/>
      </c>
      <c r="N2598" s="748" t="s">
        <v>3680</v>
      </c>
      <c r="O2598" s="748">
        <f>'Part IX A-Scoring Criteria'!O106</f>
        <v>0</v>
      </c>
      <c r="P2598" s="748">
        <f>'Part IX A-Scoring Criteria'!P106</f>
        <v>0</v>
      </c>
    </row>
    <row r="2599" spans="1:16">
      <c r="B2599" s="748" t="s">
        <v>3681</v>
      </c>
      <c r="C2599" s="748" t="s">
        <v>913</v>
      </c>
      <c r="M2599" s="748" t="str">
        <f>IF(AND($I$89="HOPE VI Initiative",O2599=""), "X","")</f>
        <v/>
      </c>
      <c r="N2599" s="748" t="s">
        <v>3681</v>
      </c>
      <c r="O2599" s="748">
        <f>'Part IX A-Scoring Criteria'!O107</f>
        <v>0</v>
      </c>
      <c r="P2599" s="748">
        <f>'Part IX A-Scoring Criteria'!P107</f>
        <v>0</v>
      </c>
    </row>
    <row r="2600" spans="1:16">
      <c r="B2600" s="748" t="s">
        <v>3682</v>
      </c>
      <c r="C2600" s="748" t="s">
        <v>914</v>
      </c>
      <c r="M2600" s="748" t="str">
        <f>IF(AND($I$89="HOPE VI Initiative",O2600=""), "X","")</f>
        <v/>
      </c>
      <c r="N2600" s="748" t="s">
        <v>3682</v>
      </c>
      <c r="O2600" s="748">
        <f>'Part IX A-Scoring Criteria'!O108</f>
        <v>0</v>
      </c>
      <c r="P2600" s="748">
        <f>'Part IX A-Scoring Criteria'!P108</f>
        <v>0</v>
      </c>
    </row>
    <row r="2601" spans="1:16">
      <c r="B2601" s="748" t="s">
        <v>3683</v>
      </c>
      <c r="C2601" s="748" t="s">
        <v>915</v>
      </c>
      <c r="M2601" s="748" t="str">
        <f>IF(AND($I$89="HOPE VI Initiative",O2601=""), "X","")</f>
        <v/>
      </c>
      <c r="N2601" s="748" t="s">
        <v>3683</v>
      </c>
      <c r="O2601" s="748">
        <f>'Part IX A-Scoring Criteria'!O109</f>
        <v>0</v>
      </c>
      <c r="P2601" s="748">
        <f>'Part IX A-Scoring Criteria'!P109</f>
        <v>0</v>
      </c>
    </row>
    <row r="2602" spans="1:16">
      <c r="B2602" s="748" t="s">
        <v>3064</v>
      </c>
      <c r="C2602" s="748" t="s">
        <v>539</v>
      </c>
      <c r="G2602" s="748" t="s">
        <v>919</v>
      </c>
      <c r="N2602" s="748" t="s">
        <v>3064</v>
      </c>
      <c r="O2602" s="748">
        <f>'Part IX A-Scoring Criteria'!O110</f>
        <v>0</v>
      </c>
      <c r="P2602" s="748">
        <f>'Part IX A-Scoring Criteria'!P110</f>
        <v>0</v>
      </c>
    </row>
    <row r="2603" spans="1:16">
      <c r="A2603" s="748" t="str">
        <f>'Part IX A-Scoring Criteria'!A111</f>
        <v/>
      </c>
      <c r="B2603" s="748" t="s">
        <v>3821</v>
      </c>
      <c r="C2603" s="748" t="s">
        <v>540</v>
      </c>
      <c r="G2603" s="748" t="s">
        <v>1649</v>
      </c>
      <c r="H2603" s="748" t="str">
        <f>'Part IX A-Scoring Criteria'!H111</f>
        <v>&lt;&lt;Select&gt;&gt;</v>
      </c>
      <c r="I2603" s="748" t="s">
        <v>1561</v>
      </c>
      <c r="J2603" s="748">
        <f>'Part IX A-Scoring Criteria'!J111</f>
        <v>0</v>
      </c>
      <c r="N2603" s="748" t="s">
        <v>3821</v>
      </c>
      <c r="O2603" s="748">
        <f>'Part IX A-Scoring Criteria'!O111</f>
        <v>0</v>
      </c>
      <c r="P2603" s="748">
        <f>'Part IX A-Scoring Criteria'!P111</f>
        <v>0</v>
      </c>
    </row>
    <row r="2604" spans="1:16">
      <c r="A2604" s="748" t="str">
        <f>'Part IX A-Scoring Criteria'!A112</f>
        <v/>
      </c>
      <c r="B2604" s="748" t="s">
        <v>1884</v>
      </c>
      <c r="C2604" s="748" t="s">
        <v>3609</v>
      </c>
      <c r="G2604" s="748" t="s">
        <v>636</v>
      </c>
      <c r="H2604" s="748">
        <f>'Part IX A-Scoring Criteria'!H112</f>
        <v>0</v>
      </c>
      <c r="N2604" s="748" t="s">
        <v>1884</v>
      </c>
      <c r="O2604" s="748">
        <f>'Part IX A-Scoring Criteria'!O112</f>
        <v>0</v>
      </c>
      <c r="P2604" s="748">
        <f>'Part IX A-Scoring Criteria'!P112</f>
        <v>0</v>
      </c>
    </row>
    <row r="2605" spans="1:16">
      <c r="B2605" s="748" t="s">
        <v>3680</v>
      </c>
      <c r="C2605" s="748" t="s">
        <v>920</v>
      </c>
      <c r="G2605" s="748" t="s">
        <v>918</v>
      </c>
      <c r="H2605" s="748">
        <f>'Part IX A-Scoring Criteria'!H113</f>
        <v>0</v>
      </c>
      <c r="M2605" s="748" t="str">
        <f>IF(AND($I$89="Local Redevelopment Plan",O2605=""), "X","")</f>
        <v/>
      </c>
      <c r="N2605" s="748" t="s">
        <v>3680</v>
      </c>
      <c r="O2605" s="748">
        <f>'Part IX A-Scoring Criteria'!O113</f>
        <v>0</v>
      </c>
      <c r="P2605" s="748">
        <f>'Part IX A-Scoring Criteria'!P113</f>
        <v>0</v>
      </c>
    </row>
    <row r="2606" spans="1:16">
      <c r="B2606" s="748" t="s">
        <v>3681</v>
      </c>
      <c r="C2606" s="748" t="s">
        <v>3709</v>
      </c>
      <c r="N2606" s="748" t="s">
        <v>3681</v>
      </c>
      <c r="O2606" s="748">
        <f>'Part IX A-Scoring Criteria'!O114</f>
        <v>0</v>
      </c>
      <c r="P2606" s="748">
        <f>'Part IX A-Scoring Criteria'!P114</f>
        <v>0</v>
      </c>
    </row>
    <row r="2607" spans="1:16">
      <c r="B2607" s="748" t="s">
        <v>3682</v>
      </c>
      <c r="C2607" s="748" t="s">
        <v>3710</v>
      </c>
      <c r="M2607" s="748" t="str">
        <f t="shared" ref="M2607:M2616" si="374">IF(AND($I$89="Local Redevelopment Plan",O2607=""), "X","")</f>
        <v/>
      </c>
      <c r="N2607" s="748" t="s">
        <v>3682</v>
      </c>
      <c r="O2607" s="748">
        <f>'Part IX A-Scoring Criteria'!O115</f>
        <v>0</v>
      </c>
      <c r="P2607" s="748">
        <f>'Part IX A-Scoring Criteria'!P115</f>
        <v>0</v>
      </c>
    </row>
    <row r="2608" spans="1:16">
      <c r="B2608" s="748" t="s">
        <v>3683</v>
      </c>
      <c r="C2608" s="748" t="s">
        <v>3711</v>
      </c>
      <c r="M2608" s="748" t="str">
        <f t="shared" si="374"/>
        <v/>
      </c>
      <c r="N2608" s="748" t="s">
        <v>3683</v>
      </c>
      <c r="O2608" s="748">
        <f>'Part IX A-Scoring Criteria'!O116</f>
        <v>0</v>
      </c>
      <c r="P2608" s="748">
        <f>'Part IX A-Scoring Criteria'!P116</f>
        <v>0</v>
      </c>
    </row>
    <row r="2609" spans="1:17">
      <c r="B2609" s="748" t="s">
        <v>3684</v>
      </c>
      <c r="C2609" s="748" t="s">
        <v>3712</v>
      </c>
      <c r="M2609" s="748" t="str">
        <f t="shared" si="374"/>
        <v/>
      </c>
      <c r="N2609" s="748" t="s">
        <v>3684</v>
      </c>
      <c r="O2609" s="748">
        <f>'Part IX A-Scoring Criteria'!O117</f>
        <v>0</v>
      </c>
      <c r="P2609" s="748">
        <f>'Part IX A-Scoring Criteria'!P117</f>
        <v>0</v>
      </c>
    </row>
    <row r="2610" spans="1:17">
      <c r="B2610" s="748" t="s">
        <v>3707</v>
      </c>
      <c r="C2610" s="748" t="s">
        <v>3713</v>
      </c>
      <c r="M2610" s="748" t="str">
        <f t="shared" si="374"/>
        <v/>
      </c>
      <c r="N2610" s="748" t="s">
        <v>3707</v>
      </c>
      <c r="O2610" s="748">
        <f>'Part IX A-Scoring Criteria'!O118</f>
        <v>0</v>
      </c>
      <c r="P2610" s="748">
        <f>'Part IX A-Scoring Criteria'!P118</f>
        <v>0</v>
      </c>
    </row>
    <row r="2611" spans="1:17">
      <c r="B2611" s="748" t="s">
        <v>3708</v>
      </c>
      <c r="C2611" s="748" t="s">
        <v>3714</v>
      </c>
      <c r="M2611" s="748" t="str">
        <f t="shared" si="374"/>
        <v/>
      </c>
      <c r="N2611" s="748" t="s">
        <v>3708</v>
      </c>
      <c r="O2611" s="748">
        <f>'Part IX A-Scoring Criteria'!O119</f>
        <v>0</v>
      </c>
      <c r="P2611" s="748">
        <f>'Part IX A-Scoring Criteria'!P119</f>
        <v>0</v>
      </c>
    </row>
    <row r="2612" spans="1:17">
      <c r="A2612" s="748" t="str">
        <f>'Part IX A-Scoring Criteria'!A120</f>
        <v>X</v>
      </c>
      <c r="B2612" s="748" t="s">
        <v>3718</v>
      </c>
      <c r="O2612" s="748" t="s">
        <v>3793</v>
      </c>
      <c r="P2612" s="748" t="s">
        <v>3793</v>
      </c>
    </row>
    <row r="2613" spans="1:17">
      <c r="B2613" s="748" t="s">
        <v>3715</v>
      </c>
      <c r="C2613" s="748" t="s">
        <v>3719</v>
      </c>
      <c r="M2613" s="748" t="str">
        <f t="shared" si="374"/>
        <v/>
      </c>
      <c r="N2613" s="748" t="s">
        <v>3715</v>
      </c>
      <c r="O2613" s="748">
        <f>'Part IX A-Scoring Criteria'!O121</f>
        <v>0</v>
      </c>
      <c r="P2613" s="748">
        <f>'Part IX A-Scoring Criteria'!P121</f>
        <v>0</v>
      </c>
    </row>
    <row r="2614" spans="1:17">
      <c r="B2614" s="748" t="s">
        <v>3716</v>
      </c>
      <c r="C2614" s="748" t="s">
        <v>3720</v>
      </c>
      <c r="M2614" s="748" t="str">
        <f t="shared" si="374"/>
        <v/>
      </c>
      <c r="N2614" s="748" t="s">
        <v>3716</v>
      </c>
      <c r="O2614" s="748">
        <f>'Part IX A-Scoring Criteria'!O122</f>
        <v>0</v>
      </c>
      <c r="P2614" s="748">
        <f>'Part IX A-Scoring Criteria'!P122</f>
        <v>0</v>
      </c>
    </row>
    <row r="2615" spans="1:17">
      <c r="B2615" s="748" t="s">
        <v>3717</v>
      </c>
      <c r="C2615" s="748" t="s">
        <v>3721</v>
      </c>
      <c r="M2615" s="748" t="str">
        <f t="shared" si="374"/>
        <v/>
      </c>
      <c r="N2615" s="748" t="s">
        <v>3717</v>
      </c>
      <c r="O2615" s="748">
        <f>'Part IX A-Scoring Criteria'!O123</f>
        <v>0</v>
      </c>
      <c r="P2615" s="748">
        <f>'Part IX A-Scoring Criteria'!P123</f>
        <v>0</v>
      </c>
    </row>
    <row r="2616" spans="1:17">
      <c r="B2616" s="748" t="s">
        <v>917</v>
      </c>
      <c r="C2616" s="748" t="s">
        <v>3722</v>
      </c>
      <c r="M2616" s="748" t="str">
        <f t="shared" si="374"/>
        <v/>
      </c>
      <c r="N2616" s="748" t="s">
        <v>917</v>
      </c>
      <c r="O2616" s="748">
        <f>'Part IX A-Scoring Criteria'!O124</f>
        <v>0</v>
      </c>
      <c r="P2616" s="748">
        <f>'Part IX A-Scoring Criteria'!P124</f>
        <v>0</v>
      </c>
    </row>
    <row r="2617" spans="1:17">
      <c r="B2617" s="748" t="s">
        <v>333</v>
      </c>
    </row>
    <row r="2618" spans="1:17">
      <c r="A2618" s="748" t="str">
        <f>'Part IX A-Scoring Criteria'!A126</f>
        <v>Briarcliff Summit Apartments meets the Stable Communities Criteria indicated in item #2 above.  FFIEC Census Tract documentation is included under Tab 30.  The property is not part of any Community Development/Revitalization Plan or Strategy.</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0</v>
      </c>
      <c r="P2624" s="748">
        <f>MIN($M2624,(P2625+P2631))</f>
        <v>0</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15" customHeight="1">
      <c r="B2626" s="748" t="s">
        <v>3062</v>
      </c>
      <c r="C2626" s="748" t="s">
        <v>1563</v>
      </c>
      <c r="N2626" s="748" t="s">
        <v>3062</v>
      </c>
      <c r="O2626" s="748">
        <f>'Part IX A-Scoring Criteria'!O134</f>
        <v>0</v>
      </c>
      <c r="P2626" s="748">
        <f>'Part IX A-Scoring Criteria'!P134</f>
        <v>0</v>
      </c>
    </row>
    <row r="2627" spans="1:17" ht="13.15" customHeight="1">
      <c r="C2627" s="748" t="s">
        <v>1564</v>
      </c>
      <c r="H2627" s="748" t="s">
        <v>1562</v>
      </c>
      <c r="I2627" s="748">
        <f>'Part IX A-Scoring Criteria'!I135</f>
        <v>0</v>
      </c>
      <c r="J2627" s="748" t="s">
        <v>950</v>
      </c>
      <c r="K2627" s="748">
        <f>'Part IX A-Scoring Criteria'!K135</f>
        <v>0</v>
      </c>
    </row>
    <row r="2628" spans="1:17">
      <c r="B2628" s="748" t="s">
        <v>3064</v>
      </c>
      <c r="C2628" s="748" t="s">
        <v>1565</v>
      </c>
      <c r="L2628" s="748" t="str">
        <f>IF(OR($O2628=$M2628,$O2628=0,$O2628=""),"","* * Check Score! * *")</f>
        <v/>
      </c>
      <c r="N2628" s="748" t="s">
        <v>3064</v>
      </c>
      <c r="O2628" s="748">
        <f>'Part IX A-Scoring Criteria'!O136</f>
        <v>0</v>
      </c>
      <c r="P2628" s="748">
        <f>'Part IX A-Scoring Criteria'!P136</f>
        <v>0</v>
      </c>
    </row>
    <row r="2629" spans="1:17">
      <c r="B2629" s="748" t="s">
        <v>3821</v>
      </c>
      <c r="C2629" s="748" t="s">
        <v>1566</v>
      </c>
      <c r="L2629" s="748" t="str">
        <f>IF(OR($O2629=$M2629,$O2629=0,$O2629=""),"","* * Check Score! * *")</f>
        <v/>
      </c>
      <c r="N2629" s="748" t="s">
        <v>3821</v>
      </c>
      <c r="O2629" s="748">
        <f>'Part IX A-Scoring Criteria'!O137</f>
        <v>0</v>
      </c>
      <c r="P2629" s="748">
        <f>'Part IX A-Scoring Criteria'!P137</f>
        <v>0</v>
      </c>
    </row>
    <row r="2630" spans="1:17">
      <c r="B2630" s="748" t="s">
        <v>1884</v>
      </c>
      <c r="C2630" s="748" t="s">
        <v>1567</v>
      </c>
      <c r="L2630" s="748" t="str">
        <f>IF(OR($O2630=$M2630,$O2630=0,$O2630=""),"","* * Check Score! * *")</f>
        <v/>
      </c>
      <c r="N2630" s="748" t="s">
        <v>1884</v>
      </c>
      <c r="O2630" s="748">
        <f>'Part IX A-Scoring Criteria'!O138</f>
        <v>0</v>
      </c>
      <c r="P2630" s="748">
        <f>'Part IX A-Scoring Criteria'!P138</f>
        <v>0</v>
      </c>
    </row>
    <row r="2631" spans="1:17">
      <c r="A2631" s="748" t="s">
        <v>2054</v>
      </c>
      <c r="B2631" s="748" t="s">
        <v>3061</v>
      </c>
      <c r="C2631" s="748" t="s">
        <v>3357</v>
      </c>
      <c r="M2631" s="748">
        <v>3</v>
      </c>
      <c r="N2631" s="748" t="s">
        <v>3061</v>
      </c>
      <c r="O2631" s="748">
        <f>IF($M2632=4,3,IF($M2632=3,2,IF($M2632=2,1,0)))</f>
        <v>0</v>
      </c>
      <c r="P2631" s="748">
        <f>IF($M2632=4,3,IF($M2632=3,2,IF($M2632=2,1,0)))</f>
        <v>0</v>
      </c>
    </row>
    <row r="2632" spans="1:17">
      <c r="L2632" s="748" t="s">
        <v>733</v>
      </c>
      <c r="M2632" s="748" t="str">
        <f>'Part IX A-Scoring Criteria'!M140</f>
        <v>&lt;Select&gt;</v>
      </c>
      <c r="N2632" s="748" t="s">
        <v>734</v>
      </c>
    </row>
    <row r="2633" spans="1:17">
      <c r="B2633" s="748" t="s">
        <v>333</v>
      </c>
    </row>
    <row r="2634" spans="1:17">
      <c r="A2634" s="748">
        <f>'Part IX A-Scoring Criteria'!A142</f>
        <v>0</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3793</v>
      </c>
    </row>
    <row r="2640" spans="1:17">
      <c r="A2640" s="748" t="s">
        <v>3680</v>
      </c>
      <c r="B2640" s="748" t="s">
        <v>3725</v>
      </c>
      <c r="O2640" s="748" t="s">
        <v>3680</v>
      </c>
      <c r="P2640" s="748">
        <f>'Part IX A-Scoring Criteria'!P148</f>
        <v>0</v>
      </c>
    </row>
    <row r="2641" spans="1:16" ht="13.15" customHeight="1">
      <c r="A2641" s="748" t="s">
        <v>3681</v>
      </c>
      <c r="B2641" s="748" t="s">
        <v>3726</v>
      </c>
      <c r="O2641" s="748" t="s">
        <v>3681</v>
      </c>
      <c r="P2641" s="748">
        <f>'Part IX A-Scoring Criteria'!P149</f>
        <v>0</v>
      </c>
    </row>
    <row r="2642" spans="1:16" ht="13.15"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15" customHeight="1">
      <c r="A2644" s="748" t="s">
        <v>3684</v>
      </c>
      <c r="B2644" s="748" t="s">
        <v>3339</v>
      </c>
      <c r="O2644" s="748" t="s">
        <v>3684</v>
      </c>
      <c r="P2644" s="748">
        <f>'Part IX A-Scoring Criteria'!P152</f>
        <v>0</v>
      </c>
    </row>
    <row r="2645" spans="1:16" ht="13.15" customHeight="1">
      <c r="A2645" s="748" t="s">
        <v>3707</v>
      </c>
      <c r="B2645" s="748" t="s">
        <v>3340</v>
      </c>
      <c r="O2645" s="748" t="s">
        <v>3707</v>
      </c>
      <c r="P2645" s="748">
        <f>'Part IX A-Scoring Criteria'!P153</f>
        <v>0</v>
      </c>
    </row>
    <row r="2646" spans="1:16">
      <c r="A2646" s="748" t="s">
        <v>3708</v>
      </c>
      <c r="B2646" s="748" t="s">
        <v>2666</v>
      </c>
      <c r="O2646" s="748" t="s">
        <v>3708</v>
      </c>
      <c r="P2646" s="748">
        <f>'Part IX A-Scoring Criteria'!P154</f>
        <v>0</v>
      </c>
    </row>
    <row r="2647" spans="1:16">
      <c r="A2647" s="748" t="s">
        <v>3715</v>
      </c>
      <c r="B2647" s="748" t="s">
        <v>2667</v>
      </c>
      <c r="O2647" s="748" t="s">
        <v>3715</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2214</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We agree to forego the cancellation option for a period of 5 years as indicated in Part I - Section XII-B of the Core Application.</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6</v>
      </c>
      <c r="P2667" s="748">
        <f>MIN($M2667,(P2668+P2672))</f>
        <v>0</v>
      </c>
      <c r="Q2667" s="748" t="s">
        <v>651</v>
      </c>
    </row>
    <row r="2668" spans="1:18">
      <c r="B2668" s="748" t="s">
        <v>3058</v>
      </c>
      <c r="C2668" s="748" t="s">
        <v>2840</v>
      </c>
      <c r="L2668" s="748" t="str">
        <f>IF($O2668&lt;=$M2668,"","* * Check Score! * *")</f>
        <v/>
      </c>
      <c r="M2668" s="748">
        <v>3</v>
      </c>
      <c r="N2668" s="748" t="s">
        <v>3058</v>
      </c>
      <c r="O2668" s="748">
        <f>'Part IX A-Scoring Criteria'!O176</f>
        <v>1</v>
      </c>
      <c r="P2668" s="748">
        <f>'Part IX A-Scoring Criteria'!P176</f>
        <v>0</v>
      </c>
    </row>
    <row r="2669" spans="1:18" ht="14.45" customHeight="1">
      <c r="C2669" s="748" t="s">
        <v>190</v>
      </c>
      <c r="O2669" s="748" t="str">
        <f>'Part IX A-Scoring Criteria'!O177</f>
        <v>Two</v>
      </c>
      <c r="P2669" s="748">
        <f>'Part IX A-Scoring Criteria'!P177</f>
        <v>0</v>
      </c>
    </row>
    <row r="2670" spans="1:18" ht="14.45" customHeight="1">
      <c r="A2670" s="748" t="str">
        <f>IF($I$89="HOPE VI Initiative", "X","")</f>
        <v/>
      </c>
      <c r="B2670" s="748" t="s">
        <v>3062</v>
      </c>
      <c r="C2670" s="748" t="s">
        <v>3610</v>
      </c>
      <c r="M2670" s="748">
        <v>3</v>
      </c>
    </row>
    <row r="2671" spans="1:18" ht="14.45" customHeight="1">
      <c r="A2671" s="748" t="str">
        <f>IF($I$89="HOPE VI Initiative", "X","")</f>
        <v/>
      </c>
      <c r="B2671" s="748" t="s">
        <v>3064</v>
      </c>
      <c r="C2671" s="748" t="s">
        <v>2900</v>
      </c>
      <c r="M2671" s="748">
        <v>1</v>
      </c>
    </row>
    <row r="2672" spans="1:18" ht="14.45" customHeight="1">
      <c r="B2672" s="748" t="s">
        <v>3061</v>
      </c>
      <c r="C2672" s="748" t="s">
        <v>2668</v>
      </c>
      <c r="M2672" s="748">
        <v>6</v>
      </c>
      <c r="N2672" s="748" t="s">
        <v>3061</v>
      </c>
      <c r="O2672" s="748">
        <f>'Part IX A-Scoring Criteria'!O180</f>
        <v>6</v>
      </c>
      <c r="P2672" s="748">
        <f>'Part IX A-Scoring Criteria'!P180</f>
        <v>0</v>
      </c>
      <c r="R2672" s="748" t="str">
        <f>IF(OR($O2672=$M2672,$O2672=0,$O2672=""),"","* * Check Score! * *")</f>
        <v/>
      </c>
    </row>
    <row r="2673" spans="1:18">
      <c r="B2673" s="748" t="s">
        <v>3062</v>
      </c>
      <c r="C2673" s="748" t="s">
        <v>2670</v>
      </c>
      <c r="M2673" s="748">
        <v>6</v>
      </c>
      <c r="N2673" s="748" t="s">
        <v>3062</v>
      </c>
      <c r="O2673" s="748">
        <f>'Part IX A-Scoring Criteria'!O181</f>
        <v>6</v>
      </c>
      <c r="P2673" s="748">
        <f>'Part IX A-Scoring Criteria'!P181</f>
        <v>0</v>
      </c>
    </row>
    <row r="2674" spans="1:18">
      <c r="B2674" s="748" t="s">
        <v>3064</v>
      </c>
      <c r="C2674" s="748" t="s">
        <v>2671</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2669</v>
      </c>
      <c r="L2675" s="748" t="str">
        <f>IF(OR($O2675=$M2675,$O2675=0,$O2675=""),"","* * Check Score! * *")</f>
        <v/>
      </c>
      <c r="M2675" s="748">
        <v>2</v>
      </c>
      <c r="N2675" s="748" t="s">
        <v>3821</v>
      </c>
      <c r="O2675" s="748">
        <f>'Part IX A-Scoring Criteria'!O183</f>
        <v>2</v>
      </c>
      <c r="P2675" s="748">
        <f>'Part IX A-Scoring Criteria'!P183</f>
        <v>0</v>
      </c>
    </row>
    <row r="2676" spans="1:18">
      <c r="B2676" s="748" t="s">
        <v>333</v>
      </c>
    </row>
    <row r="2677" spans="1:18">
      <c r="A2677" s="748" t="str">
        <f>'Part IX A-Scoring Criteria'!A185</f>
        <v xml:space="preserve">Briarcliff Summit Apartments meets the Preservation Criteria under the Expiring Tax Credit Properties scoring.  Please note, the proposed rent increase exceeds 10% of the existing rents.  This will not negatively impact the residents due the project-based Section 8 HAP contract that is currently in place.  Post renovation, residents will continue to pay only 30% of their adjusted annual income toward rent.  The residents will not be burdened by our proposed Section 8 contract rents.  Additionally, due to the dire need of preservation for Briarcliff Summit Apartments, HUD has designated the property as its High Priority Project for 2011.  A copy of the HUD High Priority Letter is included under Tab 34-C.  Documentation for the Preservation of Affordable Housing Scoring is included under Tab 34 A-C. </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3058</v>
      </c>
      <c r="B2684" s="748" t="s">
        <v>921</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2866</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2920</v>
      </c>
    </row>
    <row r="2689" spans="1:18">
      <c r="A2689" s="748">
        <f>'Part IX A-Scoring Criteria'!A197</f>
        <v>0</v>
      </c>
    </row>
    <row r="2691" spans="1:18">
      <c r="A2691" s="748" t="s">
        <v>2111</v>
      </c>
      <c r="B2691" s="748" t="s">
        <v>2672</v>
      </c>
      <c r="J2691" s="748" t="s">
        <v>504</v>
      </c>
      <c r="M2691" s="748">
        <v>2</v>
      </c>
      <c r="O2691" s="748">
        <f>MIN($M2691,O2693+O2692)</f>
        <v>2</v>
      </c>
      <c r="P2691" s="748">
        <f>MIN($M2691,P2693+P2692)</f>
        <v>0</v>
      </c>
      <c r="Q2691" s="748" t="s">
        <v>651</v>
      </c>
    </row>
    <row r="2692" spans="1:18">
      <c r="A2692" s="748" t="s">
        <v>3058</v>
      </c>
      <c r="B2692" s="748" t="s">
        <v>4137</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4138</v>
      </c>
      <c r="M2693" s="748">
        <v>1</v>
      </c>
      <c r="N2693" s="748" t="s">
        <v>3061</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Documentation of LIHTC experience is include under Tab 35.  The two LIHTC project we are submitting for experience are: 1.) Hudson Terrace Apartments (New York) Project#: SHARS ID 20096054 and 2.) Sharp Leadenhall Apartments (Maryland), Project #: MD 05-18.</v>
      </c>
    </row>
    <row r="2696" spans="1:18">
      <c r="B2696" s="748" t="s">
        <v>2920</v>
      </c>
    </row>
    <row r="2697" spans="1:18">
      <c r="A2697" s="748">
        <f>'Part IX A-Scoring Criteria'!A205</f>
        <v>0</v>
      </c>
    </row>
    <row r="2699" spans="1:18">
      <c r="A2699" s="748" t="s">
        <v>2675</v>
      </c>
      <c r="B2699" s="748" t="s">
        <v>1036</v>
      </c>
      <c r="J2699" s="748" t="s">
        <v>3640</v>
      </c>
      <c r="L2699" s="748" t="str">
        <f>IF(OR($O2699=$M2699,$O2699=0,$O2699=2,$O2699=""),"","* * Check Score! * *")</f>
        <v/>
      </c>
      <c r="M2699" s="748">
        <v>3</v>
      </c>
      <c r="O2699" s="748">
        <f>IF(OR(AND(J2701=2,M2701=3),AND(J2701=0,M2701=3)),3,IF(AND(J2701=3,M2701=2),2,0))</f>
        <v>0</v>
      </c>
      <c r="P2699" s="748">
        <f>'Part IX A-Scoring Criteria'!P207</f>
        <v>0</v>
      </c>
      <c r="Q2699" s="748" t="s">
        <v>651</v>
      </c>
    </row>
    <row r="2700" spans="1:18" ht="13.15" customHeight="1">
      <c r="B2700" s="748" t="s">
        <v>1570</v>
      </c>
    </row>
    <row r="2701" spans="1:18">
      <c r="C2701" s="748" t="s">
        <v>950</v>
      </c>
      <c r="D2701" s="748">
        <f>'Part IX A-Scoring Criteria'!D209</f>
        <v>0</v>
      </c>
      <c r="I2701" s="748" t="s">
        <v>1571</v>
      </c>
      <c r="J2701" s="748">
        <f>'Part IX A-Scoring Criteria'!J209</f>
        <v>0</v>
      </c>
      <c r="L2701" s="748" t="s">
        <v>4139</v>
      </c>
      <c r="M2701" s="748">
        <f>'Part IX A-Scoring Criteria'!M209</f>
        <v>0</v>
      </c>
    </row>
    <row r="2702" spans="1:18">
      <c r="B2702" s="748" t="s">
        <v>333</v>
      </c>
      <c r="J2702" s="748" t="s">
        <v>2920</v>
      </c>
    </row>
    <row r="2703" spans="1:18">
      <c r="A2703" s="748">
        <f>'Part IX A-Scoring Criteria'!A211</f>
        <v>0</v>
      </c>
      <c r="J2703" s="748">
        <f>'Part IX A-Scoring Criteria'!J211</f>
        <v>0</v>
      </c>
    </row>
    <row r="2705" spans="1:17">
      <c r="A2705" s="748" t="s">
        <v>2677</v>
      </c>
      <c r="B2705" s="748" t="s">
        <v>2676</v>
      </c>
      <c r="L2705" s="748" t="str">
        <f>IF(OR($O2705=$M2705,$O2705=0,$O2705=""),"","* * Check Score! * *")</f>
        <v/>
      </c>
      <c r="M2705" s="748">
        <v>1</v>
      </c>
      <c r="O2705" s="748">
        <f>'Part IX A-Scoring Criteria'!O213</f>
        <v>0</v>
      </c>
      <c r="P2705" s="748">
        <f>'Part IX A-Scoring Criteria'!P213</f>
        <v>0</v>
      </c>
      <c r="Q2705" s="748" t="s">
        <v>651</v>
      </c>
    </row>
    <row r="2706" spans="1:17">
      <c r="B2706" s="748" t="s">
        <v>2891</v>
      </c>
      <c r="E2706" s="748" t="str">
        <f>'Part IX A-Scoring Criteria'!E214</f>
        <v>&lt;&lt;Select a DCA Community Initiative&gt;&gt;</v>
      </c>
      <c r="I2706" s="748" t="s">
        <v>2890</v>
      </c>
      <c r="O2706" s="748" t="s">
        <v>3793</v>
      </c>
      <c r="P2706" s="748" t="s">
        <v>3793</v>
      </c>
    </row>
    <row r="2707" spans="1:17">
      <c r="B2707" s="748" t="s">
        <v>3680</v>
      </c>
      <c r="C2707" s="748" t="s">
        <v>2678</v>
      </c>
      <c r="G2707" s="748" t="str">
        <f>'Part IX A-Scoring Criteria'!G215</f>
        <v>&lt; Select applicable GICH &gt;</v>
      </c>
      <c r="J2707" s="748" t="str">
        <f>'Part IX A-Scoring Criteria'!J215</f>
        <v>&lt;Select Community of Opportunity&gt;</v>
      </c>
      <c r="N2707" s="748" t="s">
        <v>3680</v>
      </c>
      <c r="O2707" s="748">
        <f>'Part IX A-Scoring Criteria'!O215</f>
        <v>0</v>
      </c>
      <c r="P2707" s="748">
        <f>'Part IX A-Scoring Criteria'!P215</f>
        <v>0</v>
      </c>
    </row>
    <row r="2708" spans="1:17">
      <c r="B2708" s="748" t="s">
        <v>3681</v>
      </c>
      <c r="C2708" s="748" t="s">
        <v>505</v>
      </c>
      <c r="N2708" s="748" t="s">
        <v>3681</v>
      </c>
      <c r="O2708" s="748">
        <f>'Part IX A-Scoring Criteria'!O216</f>
        <v>0</v>
      </c>
      <c r="P2708" s="748">
        <f>'Part IX A-Scoring Criteria'!P216</f>
        <v>0</v>
      </c>
    </row>
    <row r="2709" spans="1:17">
      <c r="B2709" s="748" t="s">
        <v>3682</v>
      </c>
      <c r="C2709" s="748" t="s">
        <v>2623</v>
      </c>
      <c r="N2709" s="748" t="s">
        <v>3682</v>
      </c>
      <c r="O2709" s="748">
        <f>'Part IX A-Scoring Criteria'!O217</f>
        <v>0</v>
      </c>
      <c r="P2709" s="748">
        <f>'Part IX A-Scoring Criteria'!P217</f>
        <v>0</v>
      </c>
    </row>
    <row r="2710" spans="1:17">
      <c r="B2710" s="748" t="s">
        <v>3683</v>
      </c>
      <c r="C2710" s="748" t="s">
        <v>3489</v>
      </c>
      <c r="N2710" s="748" t="s">
        <v>3683</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2679</v>
      </c>
      <c r="B2719" s="748" t="s">
        <v>2892</v>
      </c>
      <c r="L2719" s="748" t="str">
        <f>IF(M2719&gt;14,"Over limit!","")</f>
        <v/>
      </c>
      <c r="M2719" s="748">
        <v>8</v>
      </c>
      <c r="O2719" s="748">
        <f>MIN($M2719,(O2727+O2737+O2739))</f>
        <v>2</v>
      </c>
      <c r="P2719" s="748">
        <f>MIN($M2719,(P2727+P2737+P2739))</f>
        <v>0</v>
      </c>
      <c r="Q2719" s="748" t="s">
        <v>651</v>
      </c>
    </row>
    <row r="2720" spans="1:17">
      <c r="B2720" s="748" t="s">
        <v>867</v>
      </c>
      <c r="L2720" s="748" t="str">
        <f>IF(M2720&gt;14,"Over limit!","")</f>
        <v/>
      </c>
      <c r="O2720" s="748" t="s">
        <v>3793</v>
      </c>
      <c r="P2720" s="748" t="s">
        <v>3793</v>
      </c>
    </row>
    <row r="2721" spans="1:18">
      <c r="B2721" s="748" t="s">
        <v>3062</v>
      </c>
      <c r="C2721" s="748" t="s">
        <v>868</v>
      </c>
      <c r="L2721" s="748" t="str">
        <f>IF(M2721&gt;14,"Over limit!","")</f>
        <v/>
      </c>
      <c r="N2721" s="748" t="s">
        <v>3062</v>
      </c>
      <c r="O2721" s="748">
        <f>'Part IX A-Scoring Criteria'!O229</f>
        <v>0</v>
      </c>
      <c r="P2721" s="748">
        <f>'Part IX A-Scoring Criteria'!P229</f>
        <v>0</v>
      </c>
    </row>
    <row r="2722" spans="1:18">
      <c r="B2722" s="748" t="s">
        <v>3064</v>
      </c>
      <c r="C2722" s="748" t="s">
        <v>869</v>
      </c>
      <c r="N2722" s="748" t="s">
        <v>3064</v>
      </c>
      <c r="O2722" s="748">
        <f>'Part IX A-Scoring Criteria'!O230</f>
        <v>0</v>
      </c>
      <c r="P2722" s="748">
        <f>'Part IX A-Scoring Criteria'!P230</f>
        <v>0</v>
      </c>
    </row>
    <row r="2723" spans="1:18">
      <c r="B2723" s="748" t="s">
        <v>3821</v>
      </c>
      <c r="C2723" s="748" t="s">
        <v>870</v>
      </c>
      <c r="N2723" s="748" t="s">
        <v>3821</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2</v>
      </c>
      <c r="P2727" s="748">
        <f>MIN($M2727,SUM(P2728:P2735))</f>
        <v>0</v>
      </c>
    </row>
    <row r="2728" spans="1:18">
      <c r="B2728" s="748" t="s">
        <v>3062</v>
      </c>
      <c r="C2728" s="748" t="s">
        <v>2215</v>
      </c>
      <c r="H2728" s="748" t="s">
        <v>2216</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2219</v>
      </c>
      <c r="H2729" s="748" t="s">
        <v>2216</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2223</v>
      </c>
      <c r="H2730" s="748" t="s">
        <v>2216</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2941</v>
      </c>
      <c r="C2733" s="748" t="s">
        <v>2221</v>
      </c>
      <c r="H2733" s="748" t="s">
        <v>2217</v>
      </c>
      <c r="L2733" s="748" t="str">
        <f t="shared" si="375"/>
        <v/>
      </c>
      <c r="M2733" s="748">
        <v>2</v>
      </c>
      <c r="N2733" s="748" t="s">
        <v>2941</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2</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3062</v>
      </c>
      <c r="C2740" s="748" t="s">
        <v>982</v>
      </c>
      <c r="E2740" s="748">
        <f>'Part IX A-Scoring Criteria'!E248</f>
        <v>0</v>
      </c>
    </row>
    <row r="2741" spans="1:18">
      <c r="B2741" s="748" t="s">
        <v>3064</v>
      </c>
      <c r="C2741" s="748" t="s">
        <v>3559</v>
      </c>
      <c r="E2741" s="748">
        <f>'Part IX A-Scoring Criteria'!E249</f>
        <v>0</v>
      </c>
    </row>
    <row r="2742" spans="1:18">
      <c r="B2742" s="748" t="s">
        <v>3821</v>
      </c>
      <c r="C2742" s="748" t="s">
        <v>983</v>
      </c>
      <c r="E2742" s="748">
        <f>'Part IX A-Scoring Criteria'!E250</f>
        <v>0</v>
      </c>
    </row>
    <row r="2744" spans="1:18">
      <c r="B2744" s="748" t="s">
        <v>333</v>
      </c>
    </row>
    <row r="2745" spans="1:18">
      <c r="A2745" s="748" t="str">
        <f>'Part IX A-Scoring Criteria'!A253</f>
        <v>A preliminary commitment letter from the Atlanta Development Authority for a $1,500,000 award of Housing Opportunity Bonds is included under Tab 5-A.</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t="str">
        <f>'Part IX A-Scoring Criteria'!O260</f>
        <v>Yes</v>
      </c>
      <c r="P2752" s="748">
        <f>'Part IX A-Scoring Criteria'!P260</f>
        <v>0</v>
      </c>
    </row>
    <row r="2753" spans="1:18" ht="14.45" customHeight="1">
      <c r="B2753" s="748" t="s">
        <v>3516</v>
      </c>
      <c r="O2753" s="748" t="str">
        <f>'Part IX A-Scoring Criteria'!O261</f>
        <v>Yes</v>
      </c>
      <c r="P2753" s="748">
        <f>'Part IX A-Scoring Criteria'!P261</f>
        <v>0</v>
      </c>
    </row>
    <row r="2754" spans="1:18">
      <c r="B2754" s="748" t="s">
        <v>333</v>
      </c>
    </row>
    <row r="2755" spans="1:18">
      <c r="A2755" s="748" t="str">
        <f>'Part IX A-Scoring Criteria'!A263</f>
        <v>A copy of the Superior Project Concept and Design Narrative and supporting documentation is included under Tab 39-A.</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3058</v>
      </c>
      <c r="B2763" s="748" t="s">
        <v>2686</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2687</v>
      </c>
      <c r="M2764" s="748">
        <v>3</v>
      </c>
      <c r="N2764" s="748" t="s">
        <v>3061</v>
      </c>
      <c r="O2764" s="748">
        <f>'Part IX A-Scoring Criteria'!O272</f>
        <v>3</v>
      </c>
      <c r="P2764" s="748">
        <f>'Part IX A-Scoring Criteria'!P272</f>
        <v>0</v>
      </c>
      <c r="R2764" s="748" t="str">
        <f>IF(OR($O2764=$M2764,$O2764=0,$O2764=""),"","* * Check Score! * *")</f>
        <v/>
      </c>
    </row>
    <row r="2765" spans="1:18" ht="14.45" customHeight="1">
      <c r="B2765" s="748" t="s">
        <v>3517</v>
      </c>
      <c r="O2765" s="748" t="str">
        <f>'Part IX A-Scoring Criteria'!O273</f>
        <v>Agree</v>
      </c>
      <c r="P2765" s="748">
        <f>'Part IX A-Scoring Criteria'!P273</f>
        <v>0</v>
      </c>
    </row>
    <row r="2766" spans="1:18">
      <c r="B2766" s="748" t="s">
        <v>333</v>
      </c>
    </row>
    <row r="2767" spans="1:18">
      <c r="A2767" s="748" t="str">
        <f>'Part IX A-Scoring Criteria'!A275</f>
        <v>Our existing Georgia property, Northgate Village (Columbus), is in compliance with DCA MITAS System Requirements.  We agree to market up to 5% of the units to tenants with Special Needs.</v>
      </c>
    </row>
    <row r="2768" spans="1:18">
      <c r="B2768" s="748" t="s">
        <v>2920</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3835</v>
      </c>
      <c r="O2773" s="748" t="str">
        <f>'Part IX A-Scoring Criteria'!O281</f>
        <v>No</v>
      </c>
      <c r="P2773" s="748">
        <f>'Part IX A-Scoring Criteria'!P281</f>
        <v>0</v>
      </c>
    </row>
    <row r="2775" spans="1:17">
      <c r="B2775" s="748" t="s">
        <v>3058</v>
      </c>
      <c r="C2775" s="748" t="s">
        <v>2159</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t="str">
        <f>'Part IX A-Scoring Criteria'!A288</f>
        <v>There are currently no uncured non-compliance issues at any of the properties the project principals are involved with.  Please see Tab 3 for copies of the Project Team's Compliance Workbooks and Tab 38 for copies of the Project Team's Compliance History Summary.  The Project Team has been determined to be "Qualified without Conditions"; however, a Pre-Determination Letter has not yet been received from DCA.  We have included a copy of the Project Team Qualifications posted on DCA's website on June 16th in Tab 19-B.</v>
      </c>
      <c r="Q2780" s="748" t="s">
        <v>1931</v>
      </c>
    </row>
    <row r="2781" spans="1:17">
      <c r="A2781" s="748" t="str">
        <f>'Part IX A-Scoring Criteria'!A289</f>
        <v>On June 21, 2011, Preservation Management Inc ("PMI Inc.), was determined by DCA to be "qualified without conditions".  A copy of the list of approved management agent's is included in Tab 39-C.</v>
      </c>
    </row>
    <row r="2782" spans="1:17">
      <c r="B2782" s="748" t="s">
        <v>2920</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56</v>
      </c>
      <c r="P2786" s="748">
        <f>P2500+P2523+P2530+P2547+P2556+P2566+P2574+P2585+P2624+P2638+P2658+P2667+P2683+P2691+P2699+P2705+P2719+P2751+P2762+P2771</f>
        <v>10</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INTRODUCTION: The Briarcliff Summit is an historic building located in a great Atlanta neighborhood and serving 201 elderly and disabled households.  More than half of the existing households are disabled and 99% of the units benefit from Project Based Section 8 subsidy.  Briarcliff is a unique and extremely important affordable housing resource.  The Section 8 contract is currently being renewed annually and can be terminated at each anniversary.  The property completed a fifteen year LIHTC compliance period at the end of 2010 and is no longer subject to a Land Use Restriction Agreement.  While the inherent appeal of the property sustains its occupancy levels, the building is in dire need of rehabilitation.  Its deteriorating condition threatens its ability to continue serving the existing, vulnerable resident population, and is having a de-stabilizing affect on the neighborhood.  Evergreen has the ability to restore and stabilize the physical property, and to implement a management plan that provides secure, affordable independent housing for the current mix of disabled and elderly residents.  The renovation and preservation of this property will have a dramatic positive impact for the building residents and the community at large.  
</v>
      </c>
    </row>
    <row r="2797" spans="1:16">
      <c r="A2797" s="748" t="str">
        <f>'Pt IX B-Super Proj Concept Narr'!A7</f>
        <v xml:space="preserve">The property is inarguably unique.  The existing disabled resident base, potentially expiring affordability, and historic significance in an excellent location comprise a distinctly compelling fact pattern.  The need for intervention is urgent as affirmed by the support shown by the City, that Atlanta Development Authority, the Neighborhood Planning Unit, and, perhaps most notably, HUD’s designation of Briarcliff as its High Priority property for the 2011 Funding Round. As discussed below, Briarcliff’s owners have repeatedly considered converting the property to a conventional use.  The property will undergo some sort of dramatic change over the next few years, and that course will almost certainly not involve housing the current residents if Tax Credits are not awarded this year.  9% Tax Credits are the only resource that can facilitate the preservation of Briarcliff as affordable housing.  DCA has an outstanding opportunity to make a tremendous difference for the disabled and elderly residents, and for the neighborhood.  The acute nature of the current problem distinguishes the preservation of Briarcliff from other tax credit transactions.  The ability to serve more than 100 disabled households also meets an overriding DCA policy objective that can almost never be addressed as significantly and cost effectively through the Tax Credit program.   </v>
      </c>
    </row>
    <row r="2799" spans="1:16">
      <c r="A2799" s="748" t="str">
        <f>'Pt IX B-Super Proj Concept Narr'!A9</f>
        <v>RESIDENT BASE: Briarcliff Summit currently operates at 96% percent occupancy despite its failing condition.  There is a substantial population of non-elderly disabled residents – approximately 60% of the building.  The disabilities range from physical handicaps to mental health and substance abuse challenges.  Evergreen’s affiliated property management company, Preservation Management, Inc. (PMI), is a national leader in the area of Supportive Services.  PMI provides supportive services to most of the 75 properties it manages.  Evergreen and PMI also own and manage a number of properties that, like Briarcliff, are urban, Section 8 subsidized, and have a predominance of disabled residents.  Management of these properties is intensive.  However, these communities can be highly successful environments for the residents and financially sound investments for the owners.  Starting with a high quality building, implementing strong house rules, and providing support for the residents are all key components for this success.  PMI will employ a full time supportive services coordinator at the property and implement an intensive program - tying residents to the array of services they need.  PMI will also host programs and activities that bolster the skills and improve quality of life for the residents.  Partnerships with local service providers will help to enrich the resources made available to the residents.  (Please see Supportive Service Plan included as part of Tab 39-A.)</v>
      </c>
    </row>
    <row r="2801" spans="1:1">
      <c r="A2801" s="748" t="str">
        <f>'Pt IX B-Super Proj Concept Narr'!A11</f>
        <v xml:space="preserve">BUILDING LOCATION: The same neighborhood features that make the area popular for more affluent renters and homeowners also make Briarcliff a great place to live for low-income elderly and disabled residents.  As the area amenity map included in Tab 18-B &amp; 24, show public transportation, shopping, medical facilities, churches and virtually all other services are easily accessible from the property.  Social service providers and others familiar with the area and with Briarcliff’s residents attest that there are few, if any, comparable housing opportunities for this vulnerable population in the market area.  </v>
      </c>
    </row>
    <row r="2803" spans="1:1">
      <c r="A2803" s="748" t="str">
        <f>'Pt IX B-Super Proj Concept Narr'!A13</f>
        <v xml:space="preserve">The physical building itself is ideal for operating this service enriched property for this resident mix.  Once the redevelopment is complete, the building will have a Health &amp; Wellness Center, Fitness Room, Computer Center, and a large community room with a full kitchen.  These facilities will allow PMI to implement a broad array of programming and create a strong sense of community at the property.  Resident outreach, education and other programming around energy conservation and indoor air quality issues will be an important piece of the culture at the property.  Evergreen and PMI have been early leaders in this area through participation in HUD’s Green Initiative and an array of other sustainability programs.  We have experience in not only creating the required Green O&amp;M and Resident Guide materials, but in developing the practices needed to ensure that these principles take root with staff and property residents.  The renovation plan will also be certified under the Enterprise Green Communities program.
</v>
      </c>
    </row>
    <row r="2805" spans="1:1">
      <c r="A2805" s="748" t="str">
        <f>'Pt IX B-Super Proj Concept Narr'!A15</f>
        <v>Briarcliff has remained a strong physical presence at the corner of Ponce de Leon and Highland Avenue for more than 85 years even as the neighborhood around it has continued to grow and change.  The property and community have reached a crossroads where it is clear that if this cultural resource is not preserved it will be at great risk of permanent loss.  The use of Historic Tax Credits in Evergreen’s financing plan both helps to increase of cost effectiveness of DCA’s LIHTC resource, and ensures that the prominent existing features of the neighborhood landmark will be restored and preserved.</v>
      </c>
    </row>
    <row r="2807" spans="1:1">
      <c r="A2807" s="748" t="str">
        <f>'Pt IX B-Super Proj Concept Narr'!A17</f>
        <v xml:space="preserve">
CURRENT STATUS:  The property is extremely well located at the southern gateway to the Virginia Highlands neighborhood.  The conversion of this property to a conventional use at some point in the future is a highly plausible threat.  (Please see Regulatory History/Status description included as part of Tab 39-A.)  It is telling that several of the principals in the current ownership group had bought into the property only six years ago with the intention of converting the building to condominium use at the end of the tax credit compliance period.  The economic crisis of the past few years has certainly dampened that prospect.  However, because of the property’s urgent and mounting physical needs, the current owner needs to achieve a recapitalization through one approach or another.  When Evergreen did not receive an allocation in the 2010 funding round, the owner proceeded to list the property for sale with a broker, creating significant alarm among the residents and the advocate community.  During the short period of time that the property was listed, there was considerable interest from buyers who would seek to convert the property.  The complexity of such a conversion and the modest tenor of the economic recovery did introduce some uncertainty into this prospect, at least for the short run. Evergreen was narrowly able to convince the owner that making another attempt at Tax Credits is their better alternative.   </v>
      </c>
    </row>
    <row r="2809" spans="1:1">
      <c r="A2809" s="748" t="str">
        <f>'Pt IX B-Super Proj Concept Narr'!A19</f>
        <v>CONCLUSION:  DCA has a rare opportunity to respond to a unique and urgent need and to make a community changing impact for the residents and the neighborhood by deeming Briarcliff the Superior Concept transaction and making the requested allocation of credits.  The following list of policy objectives that can be achieved, separately and by their breadth in aggregation, illustrate Briarcliff’s distinctive qualification for the Superior Concept designation. 
 Preservation and dramatic improvement of homes for more than 100 disabled households
 Preservation and dramatic improvement of homes for almost 100 elderly households
 Preservation of expiring Tax Credit Regulation
 Preservation of Section 8 Project Based Subsidy
 Preservation and physical stabilization of an Historic Landmark in a vital Atlanta neighborhood
 Affirmation of the intensive interest and support shown by HUD, the City of Atlanta, the Atlanta Development Authority, and the Virginia Highlands Civic Association
 Certification under the Enterprise Green Communities Program, and implementation of Green O&amp;M and Resident outreach through practiced and refined materials and protocols.</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4" sqref="D24"/>
    </sheetView>
  </sheetViews>
  <sheetFormatPr defaultRowHeight="12.75"/>
  <cols>
    <col min="1" max="1" width="88.42578125" style="31" customWidth="1"/>
    <col min="2" max="16384" width="9.140625" style="31"/>
  </cols>
  <sheetData>
    <row r="1" spans="1:6" ht="15.75">
      <c r="A1" s="1146" t="s">
        <v>1589</v>
      </c>
    </row>
    <row r="2" spans="1:6" ht="16.5">
      <c r="A2" s="1147" t="str">
        <f>'Part I-Project Information'!F22</f>
        <v xml:space="preserve">Briarcliff Summit Apartments </v>
      </c>
    </row>
    <row r="3" spans="1:6" ht="16.5">
      <c r="A3" s="1147" t="str">
        <f>CONCATENATE('Part I-Project Information'!F24,", ", 'Part I-Project Information'!J25," County")</f>
        <v>Atlanta, Fulton County</v>
      </c>
    </row>
    <row r="4" spans="1:6" ht="12" customHeight="1"/>
    <row r="5" spans="1:6" ht="135.75" customHeight="1">
      <c r="A5" s="1148" t="s">
        <v>4044</v>
      </c>
      <c r="B5" s="774" t="s">
        <v>1590</v>
      </c>
      <c r="C5" s="774"/>
      <c r="D5" s="774"/>
      <c r="E5" s="774"/>
      <c r="F5" s="774"/>
    </row>
    <row r="6" spans="1:6" ht="6.6" customHeight="1">
      <c r="A6" s="1149"/>
      <c r="B6" s="774"/>
      <c r="C6" s="774"/>
      <c r="D6" s="774"/>
      <c r="E6" s="774"/>
      <c r="F6" s="774"/>
    </row>
    <row r="7" spans="1:6" ht="84.75" customHeight="1">
      <c r="A7" s="1148" t="s">
        <v>4045</v>
      </c>
    </row>
    <row r="8" spans="1:6" ht="6.6" customHeight="1">
      <c r="A8" s="1149"/>
    </row>
    <row r="9" spans="1:6" ht="43.5" customHeight="1">
      <c r="A9" s="1148" t="s">
        <v>4046</v>
      </c>
    </row>
    <row r="10" spans="1:6" ht="6.6" customHeight="1">
      <c r="A10" s="1149"/>
    </row>
    <row r="11" spans="1:6" ht="159" customHeight="1">
      <c r="A11" s="1148" t="s">
        <v>4047</v>
      </c>
    </row>
    <row r="12" spans="1:6" ht="6.6" customHeight="1">
      <c r="A12" s="1149"/>
    </row>
    <row r="13" spans="1:6" ht="96.75" customHeight="1">
      <c r="A13" s="1148" t="s">
        <v>4048</v>
      </c>
    </row>
    <row r="14" spans="1:6" ht="6.6" customHeight="1">
      <c r="A14" s="1149"/>
    </row>
    <row r="15" spans="1:6" ht="96.75" customHeight="1">
      <c r="A15" s="1148" t="s">
        <v>4049</v>
      </c>
    </row>
    <row r="16" spans="1:6" ht="6.6" customHeight="1">
      <c r="A16" s="1149"/>
    </row>
    <row r="17" spans="1:1" ht="68.25" customHeight="1">
      <c r="A17" s="1148" t="s">
        <v>4050</v>
      </c>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workbookViewId="0">
      <selection activeCell="D24" sqref="D24"/>
    </sheetView>
  </sheetViews>
  <sheetFormatPr defaultColWidth="9.140625" defaultRowHeight="12" customHeight="1"/>
  <cols>
    <col min="1" max="1" width="3.28515625" style="482" customWidth="1"/>
    <col min="2" max="2" width="2.28515625" style="506" customWidth="1"/>
    <col min="3" max="4" width="8.85546875" style="482" customWidth="1"/>
    <col min="5" max="5" width="11.42578125" style="482" customWidth="1"/>
    <col min="6" max="11" width="8.85546875" style="482" customWidth="1"/>
    <col min="12" max="12" width="11.28515625" style="482" customWidth="1"/>
    <col min="1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- 2011-015 Briarcliff Summit Apartments , Atlanta, Fulton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798" t="s">
        <v>2728</v>
      </c>
      <c r="N3" s="798"/>
      <c r="O3" s="798"/>
      <c r="P3" s="798"/>
    </row>
    <row r="4" spans="1:16" s="458" customFormat="1" ht="12" customHeight="1" thickBot="1">
      <c r="A4" s="733"/>
      <c r="B4" s="461"/>
      <c r="C4" s="461"/>
      <c r="D4" s="462"/>
      <c r="E4" s="401" t="s">
        <v>654</v>
      </c>
      <c r="H4" s="723"/>
      <c r="I4" s="723"/>
      <c r="J4" s="723"/>
      <c r="M4" s="723"/>
      <c r="O4" s="1526" t="s">
        <v>4106</v>
      </c>
      <c r="P4" s="1527"/>
    </row>
    <row r="5" spans="1:16" s="458" customFormat="1" ht="12" customHeight="1">
      <c r="A5" s="733"/>
      <c r="B5" s="461"/>
      <c r="C5" s="461"/>
      <c r="D5" s="461"/>
      <c r="E5" s="723"/>
      <c r="H5" s="723"/>
      <c r="I5" s="723"/>
      <c r="J5" s="723"/>
      <c r="K5" s="395"/>
      <c r="M5" s="723"/>
    </row>
    <row r="6" spans="1:16" s="458" customFormat="1" ht="13.15" customHeight="1">
      <c r="A6" s="461" t="s">
        <v>949</v>
      </c>
      <c r="C6" s="461" t="s">
        <v>3588</v>
      </c>
      <c r="D6" s="418"/>
      <c r="E6" s="463"/>
      <c r="F6" s="464" t="s">
        <v>2739</v>
      </c>
      <c r="J6" s="788">
        <f>'Part IV-Uses of Funds'!J165</f>
        <v>950000</v>
      </c>
      <c r="K6" s="789"/>
    </row>
    <row r="7" spans="1:16" s="2" customFormat="1" ht="13.15" customHeight="1">
      <c r="A7" s="5"/>
      <c r="C7" s="5"/>
      <c r="D7" s="31"/>
      <c r="E7" s="563"/>
      <c r="F7" s="458" t="s">
        <v>1981</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3130</v>
      </c>
      <c r="F9" s="1170" t="s">
        <v>3918</v>
      </c>
      <c r="G9" s="1171"/>
      <c r="H9" s="1172"/>
      <c r="I9" s="1528" t="s">
        <v>1229</v>
      </c>
      <c r="J9" s="1445"/>
      <c r="K9" s="1446"/>
      <c r="L9" s="1446"/>
      <c r="M9" s="1446"/>
      <c r="N9" s="1446"/>
      <c r="O9" s="1446"/>
      <c r="P9" s="1447"/>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3440</v>
      </c>
      <c r="F13" s="1445" t="s">
        <v>3919</v>
      </c>
      <c r="G13" s="1446"/>
      <c r="H13" s="1446"/>
      <c r="I13" s="1446"/>
      <c r="J13" s="1446"/>
      <c r="K13" s="1446"/>
      <c r="L13" s="1447"/>
      <c r="M13" s="713" t="s">
        <v>3055</v>
      </c>
      <c r="N13" s="1445" t="s">
        <v>3920</v>
      </c>
      <c r="O13" s="1446"/>
      <c r="P13" s="1447"/>
    </row>
    <row r="14" spans="1:16" s="458" customFormat="1" ht="13.15" customHeight="1">
      <c r="C14" s="464" t="s">
        <v>3056</v>
      </c>
      <c r="F14" s="1445" t="s">
        <v>3921</v>
      </c>
      <c r="G14" s="1446"/>
      <c r="H14" s="1446"/>
      <c r="I14" s="1446"/>
      <c r="J14" s="1446"/>
      <c r="K14" s="1446"/>
      <c r="L14" s="1447"/>
      <c r="M14" s="713" t="s">
        <v>2745</v>
      </c>
      <c r="O14" s="1529">
        <v>2077746989</v>
      </c>
      <c r="P14" s="1530"/>
    </row>
    <row r="15" spans="1:16" s="458" customFormat="1" ht="13.15" customHeight="1">
      <c r="C15" s="464" t="s">
        <v>952</v>
      </c>
      <c r="F15" s="1460" t="s">
        <v>3922</v>
      </c>
      <c r="G15" s="1396"/>
      <c r="H15" s="1397"/>
      <c r="M15" s="713" t="s">
        <v>2832</v>
      </c>
      <c r="O15" s="1476">
        <v>2077746998</v>
      </c>
      <c r="P15" s="1478"/>
    </row>
    <row r="16" spans="1:16" s="458" customFormat="1" ht="13.15" customHeight="1">
      <c r="C16" s="464" t="s">
        <v>2829</v>
      </c>
      <c r="F16" s="1531" t="s">
        <v>1446</v>
      </c>
      <c r="I16" s="723" t="s">
        <v>3352</v>
      </c>
      <c r="J16" s="1479">
        <v>41062408</v>
      </c>
      <c r="K16" s="1532"/>
      <c r="M16" s="713" t="s">
        <v>3054</v>
      </c>
      <c r="O16" s="1476">
        <v>2073290188</v>
      </c>
      <c r="P16" s="1478"/>
    </row>
    <row r="17" spans="1:16" s="458" customFormat="1" ht="13.15" customHeight="1">
      <c r="B17" s="721"/>
      <c r="C17" s="464" t="s">
        <v>2744</v>
      </c>
      <c r="F17" s="1476">
        <v>2077746989</v>
      </c>
      <c r="G17" s="1477"/>
      <c r="H17" s="1478"/>
      <c r="I17" s="717" t="s">
        <v>2743</v>
      </c>
      <c r="J17" s="1442">
        <v>228</v>
      </c>
      <c r="K17" s="723" t="s">
        <v>3059</v>
      </c>
      <c r="L17" s="1445" t="s">
        <v>3923</v>
      </c>
      <c r="M17" s="1446"/>
      <c r="N17" s="1446"/>
      <c r="O17" s="1446"/>
      <c r="P17" s="1447"/>
    </row>
    <row r="18" spans="1:16" s="458" customFormat="1" ht="13.15" customHeight="1">
      <c r="A18" s="461"/>
      <c r="B18" s="463"/>
      <c r="C18" s="441" t="s">
        <v>996</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2822</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83" t="s">
        <v>3924</v>
      </c>
      <c r="G22" s="1484"/>
      <c r="H22" s="1484"/>
      <c r="I22" s="1484"/>
      <c r="J22" s="1484"/>
      <c r="K22" s="1484"/>
      <c r="L22" s="1485"/>
      <c r="M22" s="713" t="s">
        <v>3298</v>
      </c>
      <c r="O22" s="1445" t="s">
        <v>3925</v>
      </c>
      <c r="P22" s="1447"/>
    </row>
    <row r="23" spans="1:16" s="458" customFormat="1" ht="13.15" customHeight="1">
      <c r="A23" s="471"/>
      <c r="B23" s="461"/>
      <c r="C23" s="458" t="s">
        <v>951</v>
      </c>
      <c r="D23" s="472"/>
      <c r="F23" s="1445" t="s">
        <v>3927</v>
      </c>
      <c r="G23" s="1446"/>
      <c r="H23" s="1446"/>
      <c r="I23" s="1446"/>
      <c r="J23" s="1446"/>
      <c r="K23" s="1446"/>
      <c r="L23" s="1447"/>
      <c r="M23" s="713" t="s">
        <v>3144</v>
      </c>
      <c r="O23" s="1445" t="s">
        <v>3925</v>
      </c>
      <c r="P23" s="1447"/>
    </row>
    <row r="24" spans="1:16" s="458" customFormat="1" ht="13.15" customHeight="1">
      <c r="A24" s="733"/>
      <c r="B24" s="461"/>
      <c r="C24" s="458" t="s">
        <v>952</v>
      </c>
      <c r="F24" s="1445" t="s">
        <v>1865</v>
      </c>
      <c r="G24" s="1446"/>
      <c r="H24" s="1447"/>
      <c r="I24" s="723" t="s">
        <v>445</v>
      </c>
      <c r="J24" s="1479">
        <v>303064230</v>
      </c>
      <c r="K24" s="1532"/>
      <c r="L24" s="550" t="str">
        <f>IF(AND(NOT(F22=""),NOT(F24="Select from list"),J24=""),"Enter Zip!","")</f>
        <v/>
      </c>
      <c r="M24" s="713" t="s">
        <v>3414</v>
      </c>
      <c r="O24" s="1445">
        <v>1.2</v>
      </c>
      <c r="P24" s="1447"/>
    </row>
    <row r="25" spans="1:16" s="458" customFormat="1" ht="13.15" customHeight="1">
      <c r="A25" s="733"/>
      <c r="B25" s="461"/>
      <c r="C25" s="781" t="s">
        <v>3143</v>
      </c>
      <c r="D25" s="781"/>
      <c r="F25" s="1533" t="s">
        <v>3926</v>
      </c>
      <c r="I25" s="504" t="s">
        <v>953</v>
      </c>
      <c r="J25" s="1534" t="str">
        <f>IF($F$24="","",VLOOKUP($F$24,$N$183:$O$786,2,FALSE))</f>
        <v>Fulton</v>
      </c>
      <c r="K25" s="1535"/>
      <c r="M25" s="474" t="s">
        <v>3433</v>
      </c>
      <c r="O25" s="1445">
        <v>15</v>
      </c>
      <c r="P25" s="1536"/>
    </row>
    <row r="26" spans="1:16" s="458" customFormat="1" ht="13.15" customHeight="1">
      <c r="A26" s="733"/>
      <c r="B26" s="461"/>
      <c r="C26" s="458" t="s">
        <v>2312</v>
      </c>
      <c r="F26" s="1537" t="s">
        <v>3925</v>
      </c>
      <c r="G26" s="475"/>
      <c r="I26" s="466" t="s">
        <v>884</v>
      </c>
      <c r="J26" s="1538" t="str">
        <f>IF($F$24="","",VLOOKUP($J$25,$C$183:$H$342,3,FALSE))</f>
        <v>Atlanta-Sandy Springs-Marietta</v>
      </c>
      <c r="K26" s="1539"/>
      <c r="L26" s="1540"/>
      <c r="M26" s="713" t="s">
        <v>665</v>
      </c>
      <c r="N26" s="1541" t="s">
        <v>3925</v>
      </c>
      <c r="O26" s="466" t="s">
        <v>666</v>
      </c>
      <c r="P26" s="1541" t="s">
        <v>3925</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446</v>
      </c>
      <c r="G28" s="797"/>
      <c r="H28" s="797" t="s">
        <v>1224</v>
      </c>
      <c r="I28" s="797"/>
      <c r="J28" s="797" t="s">
        <v>1225</v>
      </c>
      <c r="K28" s="797"/>
      <c r="L28" s="468"/>
    </row>
    <row r="29" spans="1:16" s="458" customFormat="1" ht="13.15" customHeight="1">
      <c r="A29" s="733"/>
      <c r="B29" s="461"/>
      <c r="C29" s="458" t="s">
        <v>954</v>
      </c>
      <c r="D29" s="461"/>
      <c r="F29" s="1542">
        <v>5</v>
      </c>
      <c r="G29" s="1543"/>
      <c r="H29" s="1542">
        <v>36</v>
      </c>
      <c r="I29" s="1543"/>
      <c r="J29" s="1542">
        <v>57</v>
      </c>
      <c r="K29" s="1543"/>
    </row>
    <row r="30" spans="1:16" s="458" customFormat="1" ht="13.15" customHeight="1">
      <c r="A30" s="733"/>
      <c r="B30" s="461"/>
      <c r="C30" s="464" t="s">
        <v>1226</v>
      </c>
      <c r="F30" s="1542"/>
      <c r="G30" s="1543"/>
      <c r="H30" s="1542"/>
      <c r="I30" s="1543"/>
      <c r="J30" s="1542"/>
      <c r="K30" s="1543"/>
    </row>
    <row r="31" spans="1:16" s="458" customFormat="1" ht="3" customHeight="1">
      <c r="A31" s="733"/>
      <c r="B31" s="461"/>
      <c r="I31" s="732"/>
      <c r="J31" s="732"/>
      <c r="K31" s="732"/>
      <c r="M31" s="721"/>
      <c r="N31" s="721"/>
      <c r="O31" s="721"/>
      <c r="P31" s="721"/>
    </row>
    <row r="32" spans="1:16" s="458" customFormat="1" ht="13.15" customHeight="1">
      <c r="A32" s="733"/>
      <c r="B32" s="733"/>
      <c r="C32" s="461" t="s">
        <v>972</v>
      </c>
      <c r="F32" s="1544" t="s">
        <v>3928</v>
      </c>
      <c r="G32" s="1545"/>
      <c r="H32" s="1545"/>
      <c r="I32" s="1545"/>
      <c r="J32" s="1545"/>
      <c r="K32" s="1546"/>
      <c r="L32" s="476"/>
      <c r="M32" s="476"/>
      <c r="N32" s="476"/>
    </row>
    <row r="33" spans="1:19" s="458" customFormat="1" ht="13.15" customHeight="1">
      <c r="A33" s="733"/>
      <c r="B33" s="733"/>
      <c r="C33" s="458" t="s">
        <v>973</v>
      </c>
      <c r="F33" s="1547" t="s">
        <v>3929</v>
      </c>
      <c r="G33" s="1548"/>
      <c r="H33" s="1548"/>
      <c r="I33" s="1548"/>
      <c r="J33" s="1549"/>
      <c r="K33" s="477" t="s">
        <v>3055</v>
      </c>
      <c r="L33" s="1544" t="s">
        <v>3930</v>
      </c>
      <c r="M33" s="1545"/>
      <c r="N33" s="1546"/>
    </row>
    <row r="34" spans="1:19" s="458" customFormat="1" ht="13.15" customHeight="1">
      <c r="A34" s="733"/>
      <c r="B34" s="733"/>
      <c r="C34" s="458" t="s">
        <v>3056</v>
      </c>
      <c r="F34" s="1544" t="s">
        <v>3931</v>
      </c>
      <c r="G34" s="1545"/>
      <c r="H34" s="1545"/>
      <c r="I34" s="1545"/>
      <c r="J34" s="1546"/>
      <c r="K34" s="478" t="s">
        <v>952</v>
      </c>
      <c r="L34" s="1445" t="s">
        <v>3932</v>
      </c>
      <c r="M34" s="1446"/>
      <c r="N34" s="1447"/>
    </row>
    <row r="35" spans="1:19" s="458" customFormat="1" ht="13.15" customHeight="1">
      <c r="A35" s="733"/>
      <c r="B35" s="733"/>
      <c r="C35" s="713" t="s">
        <v>3352</v>
      </c>
      <c r="F35" s="1550">
        <v>303033520</v>
      </c>
      <c r="G35" s="1551"/>
      <c r="H35" s="717" t="s">
        <v>3057</v>
      </c>
      <c r="I35" s="1482">
        <v>4043306100</v>
      </c>
      <c r="J35" s="1552"/>
      <c r="K35" s="1553"/>
      <c r="L35" s="717" t="s">
        <v>2832</v>
      </c>
      <c r="M35" s="1482">
        <v>4046586893</v>
      </c>
      <c r="N35" s="1553"/>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2824</v>
      </c>
      <c r="C37" s="461" t="s">
        <v>2207</v>
      </c>
      <c r="F37" s="481"/>
      <c r="I37" s="464"/>
      <c r="J37" s="683" t="s">
        <v>1973</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3058</v>
      </c>
      <c r="C39" s="461" t="s">
        <v>3435</v>
      </c>
      <c r="F39" s="1442" t="s">
        <v>3925</v>
      </c>
      <c r="J39" s="605" t="s">
        <v>1970</v>
      </c>
      <c r="K39" s="721"/>
      <c r="L39" s="780" t="s">
        <v>1971</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3061</v>
      </c>
      <c r="C41" s="461" t="s">
        <v>1082</v>
      </c>
      <c r="J41" s="608" t="s">
        <v>1974</v>
      </c>
      <c r="K41" s="609"/>
      <c r="L41" s="784" t="s">
        <v>1969</v>
      </c>
      <c r="M41" s="784"/>
      <c r="N41" s="784"/>
      <c r="O41" s="784"/>
      <c r="P41" s="785"/>
      <c r="Q41" s="723"/>
    </row>
    <row r="42" spans="1:19" ht="13.15" customHeight="1">
      <c r="B42" s="733"/>
      <c r="C42" s="458" t="s">
        <v>3434</v>
      </c>
      <c r="D42" s="458"/>
      <c r="E42" s="458"/>
      <c r="F42" s="483">
        <f>'Part VI-Revenues &amp; Expenses'!$M$75</f>
        <v>0</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201</v>
      </c>
      <c r="G44" s="458" t="s">
        <v>444</v>
      </c>
      <c r="L44" s="1554"/>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201</v>
      </c>
      <c r="P46" s="721"/>
    </row>
    <row r="47" spans="1:19" s="458" customFormat="1" ht="3.6" customHeight="1">
      <c r="A47" s="733"/>
      <c r="P47" s="721"/>
    </row>
    <row r="48" spans="1:19" s="458" customFormat="1" ht="13.15" customHeight="1">
      <c r="A48" s="733"/>
      <c r="B48" s="471" t="s">
        <v>1237</v>
      </c>
      <c r="C48" s="470" t="s">
        <v>3406</v>
      </c>
      <c r="D48" s="721"/>
      <c r="I48" s="799" t="s">
        <v>2129</v>
      </c>
      <c r="J48" s="471" t="s">
        <v>3210</v>
      </c>
      <c r="K48" s="485" t="s">
        <v>3441</v>
      </c>
      <c r="M48" s="721"/>
      <c r="N48" s="721"/>
      <c r="O48" s="721"/>
      <c r="P48" s="723"/>
      <c r="Q48" s="723"/>
      <c r="R48" s="723"/>
      <c r="S48" s="721"/>
    </row>
    <row r="49" spans="1:16" s="458" customFormat="1" ht="13.15" customHeight="1">
      <c r="A49" s="733"/>
      <c r="B49" s="715"/>
      <c r="C49" s="468" t="s">
        <v>3407</v>
      </c>
      <c r="D49" s="721"/>
      <c r="E49" s="721"/>
      <c r="H49" s="486">
        <f>SUM(H50:H51)</f>
        <v>200</v>
      </c>
      <c r="I49" s="800"/>
      <c r="J49" s="733"/>
      <c r="K49" s="468" t="s">
        <v>3442</v>
      </c>
      <c r="M49" s="721"/>
      <c r="N49" s="721"/>
      <c r="O49" s="721"/>
      <c r="P49" s="486">
        <f>'Part VI-Revenues &amp; Expenses'!$M$94</f>
        <v>107522</v>
      </c>
    </row>
    <row r="50" spans="1:16" s="458" customFormat="1" ht="13.15" customHeight="1">
      <c r="A50" s="733"/>
      <c r="B50" s="482"/>
      <c r="D50" s="487" t="s">
        <v>489</v>
      </c>
      <c r="E50" s="487"/>
      <c r="H50" s="486">
        <f>'Part VI-Revenues &amp; Expenses'!$M$58</f>
        <v>31</v>
      </c>
      <c r="I50" s="486">
        <f>'Part VI-Revenues &amp; Expenses'!$M$66</f>
        <v>31</v>
      </c>
      <c r="K50" s="468" t="s">
        <v>326</v>
      </c>
      <c r="M50" s="721"/>
      <c r="N50" s="721"/>
      <c r="O50" s="721"/>
      <c r="P50" s="486">
        <f>'Part VI-Revenues &amp; Expenses'!$M$95</f>
        <v>0</v>
      </c>
    </row>
    <row r="51" spans="1:16" s="458" customFormat="1" ht="13.15" customHeight="1">
      <c r="A51" s="733"/>
      <c r="D51" s="487" t="s">
        <v>2862</v>
      </c>
      <c r="E51" s="487"/>
      <c r="H51" s="486">
        <f>'Part VI-Revenues &amp; Expenses'!$M$57</f>
        <v>169</v>
      </c>
      <c r="I51" s="486">
        <f>'Part VI-Revenues &amp; Expenses'!$M$65</f>
        <v>169</v>
      </c>
      <c r="K51" s="468" t="s">
        <v>3443</v>
      </c>
      <c r="M51" s="721"/>
      <c r="N51" s="721"/>
      <c r="O51" s="721"/>
      <c r="P51" s="486">
        <f>+P49+P50</f>
        <v>107522</v>
      </c>
    </row>
    <row r="52" spans="1:16" s="458" customFormat="1" ht="13.15" customHeight="1">
      <c r="A52" s="733"/>
      <c r="C52" s="468" t="s">
        <v>327</v>
      </c>
      <c r="D52" s="721"/>
      <c r="E52" s="721"/>
      <c r="H52" s="486">
        <f>'Part VI-Revenues &amp; Expenses'!$M$60</f>
        <v>0</v>
      </c>
      <c r="J52" s="733"/>
      <c r="K52" s="468" t="s">
        <v>2132</v>
      </c>
      <c r="M52" s="721"/>
      <c r="N52" s="721"/>
      <c r="O52" s="721"/>
      <c r="P52" s="486">
        <f>'Part VI-Revenues &amp; Expenses'!$M$97</f>
        <v>0</v>
      </c>
    </row>
    <row r="53" spans="1:16" s="458" customFormat="1" ht="13.15" customHeight="1">
      <c r="A53" s="733"/>
      <c r="C53" s="468" t="s">
        <v>3648</v>
      </c>
      <c r="D53" s="721"/>
      <c r="E53" s="721"/>
      <c r="H53" s="486">
        <f>+H49+H52</f>
        <v>200</v>
      </c>
      <c r="J53" s="733"/>
      <c r="K53" s="468" t="s">
        <v>2131</v>
      </c>
      <c r="M53" s="721"/>
      <c r="N53" s="721"/>
      <c r="O53" s="721"/>
      <c r="P53" s="486">
        <f>+P51+P52</f>
        <v>107522</v>
      </c>
    </row>
    <row r="54" spans="1:16" s="458" customFormat="1" ht="13.15" customHeight="1">
      <c r="A54" s="733"/>
      <c r="C54" s="468" t="s">
        <v>3649</v>
      </c>
      <c r="D54" s="721"/>
      <c r="E54" s="721"/>
      <c r="H54" s="486">
        <f>'Part VI-Revenues &amp; Expenses'!$M$62</f>
        <v>1</v>
      </c>
      <c r="J54" s="733"/>
    </row>
    <row r="55" spans="1:16" s="458" customFormat="1" ht="13.15" customHeight="1">
      <c r="A55" s="733"/>
      <c r="C55" s="468" t="s">
        <v>2823</v>
      </c>
      <c r="D55" s="721"/>
      <c r="E55" s="721"/>
      <c r="H55" s="486">
        <f>+H53+H54</f>
        <v>201</v>
      </c>
      <c r="J55" s="721"/>
    </row>
    <row r="56" spans="1:16" s="458" customFormat="1" ht="3" customHeight="1">
      <c r="A56" s="733"/>
      <c r="I56" s="723"/>
      <c r="L56" s="723"/>
      <c r="M56" s="723"/>
      <c r="N56" s="721"/>
      <c r="P56" s="469"/>
    </row>
    <row r="57" spans="1:16" s="458" customFormat="1" ht="13.15" customHeight="1">
      <c r="A57" s="733"/>
      <c r="B57" s="733" t="s">
        <v>2761</v>
      </c>
      <c r="C57" s="470" t="s">
        <v>3436</v>
      </c>
      <c r="D57" s="487" t="s">
        <v>3072</v>
      </c>
      <c r="G57" s="721"/>
      <c r="H57" s="1555">
        <v>1</v>
      </c>
      <c r="K57" s="468" t="s">
        <v>1758</v>
      </c>
      <c r="O57" s="721"/>
      <c r="P57" s="1555">
        <v>55717</v>
      </c>
    </row>
    <row r="58" spans="1:16" s="458" customFormat="1" ht="13.15" customHeight="1">
      <c r="A58" s="733"/>
      <c r="B58" s="733"/>
      <c r="D58" s="715" t="s">
        <v>3073</v>
      </c>
      <c r="H58" s="1555"/>
      <c r="I58" s="721"/>
      <c r="K58" s="468" t="s">
        <v>325</v>
      </c>
      <c r="O58" s="721"/>
      <c r="P58" s="486">
        <f>+P53+P57</f>
        <v>163239</v>
      </c>
    </row>
    <row r="59" spans="1:16" s="458" customFormat="1" ht="13.15" customHeight="1">
      <c r="A59" s="733"/>
      <c r="B59" s="733"/>
      <c r="D59" s="715" t="s">
        <v>3074</v>
      </c>
      <c r="H59" s="486">
        <f>+H57+H58</f>
        <v>1</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2762</v>
      </c>
      <c r="C61" s="470" t="s">
        <v>1083</v>
      </c>
      <c r="D61" s="721"/>
      <c r="E61" s="721"/>
      <c r="F61" s="721"/>
      <c r="G61" s="721"/>
      <c r="H61" s="1555">
        <v>40</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821</v>
      </c>
      <c r="C63" s="488" t="s">
        <v>1835</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3058</v>
      </c>
      <c r="C65" s="395" t="s">
        <v>2271</v>
      </c>
      <c r="D65" s="716"/>
      <c r="E65" s="716"/>
      <c r="F65" s="721"/>
      <c r="G65" s="723"/>
      <c r="H65" s="1556" t="s">
        <v>3933</v>
      </c>
      <c r="I65" s="1557"/>
      <c r="K65" s="781" t="s">
        <v>2800</v>
      </c>
      <c r="L65" s="781"/>
      <c r="N65" s="1445"/>
      <c r="O65" s="1446"/>
      <c r="P65" s="1447"/>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3061</v>
      </c>
      <c r="C67" s="470" t="s">
        <v>2120</v>
      </c>
      <c r="D67" s="721"/>
      <c r="E67" s="487"/>
      <c r="G67" s="489" t="s">
        <v>1377</v>
      </c>
      <c r="H67" s="1555">
        <v>14</v>
      </c>
      <c r="K67" s="781" t="s">
        <v>811</v>
      </c>
      <c r="L67" s="781"/>
      <c r="P67" s="490">
        <f>IF('Part VI-Revenues &amp; Expenses'!$M$63=0,0,$H67/'Part VI-Revenues &amp; Expenses'!$M$63)</f>
        <v>6.965174129353234E-2</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1237</v>
      </c>
      <c r="C69" s="470" t="s">
        <v>2889</v>
      </c>
      <c r="D69" s="487"/>
      <c r="E69" s="487"/>
      <c r="G69" s="489" t="s">
        <v>1377</v>
      </c>
      <c r="H69" s="1555">
        <v>4</v>
      </c>
      <c r="K69" s="781" t="s">
        <v>811</v>
      </c>
      <c r="L69" s="781"/>
      <c r="P69" s="490">
        <f>IF('Part VI-Revenues &amp; Expenses'!$M$63=0,0,$H69/'Part VI-Revenues &amp; Expenses'!$M$63)</f>
        <v>1.9900497512437811E-2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3210</v>
      </c>
      <c r="C71" s="470" t="s">
        <v>1976</v>
      </c>
      <c r="D71" s="487"/>
      <c r="E71" s="487"/>
      <c r="G71" s="489" t="s">
        <v>1977</v>
      </c>
      <c r="H71" s="1555"/>
      <c r="K71" s="781" t="s">
        <v>811</v>
      </c>
      <c r="L71" s="781"/>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1346</v>
      </c>
      <c r="B73" s="733"/>
      <c r="C73" s="716" t="s">
        <v>3590</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3058</v>
      </c>
      <c r="C75" s="395" t="s">
        <v>3589</v>
      </c>
      <c r="D75" s="715"/>
      <c r="E75" s="715"/>
      <c r="F75" s="715"/>
      <c r="H75" s="1558" t="s">
        <v>1459</v>
      </c>
      <c r="I75" s="1559"/>
      <c r="J75" s="1560"/>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3061</v>
      </c>
      <c r="C77" s="461" t="s">
        <v>2284</v>
      </c>
      <c r="K77" s="464" t="s">
        <v>1458</v>
      </c>
      <c r="N77" s="492"/>
      <c r="P77" s="1442"/>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385</v>
      </c>
      <c r="B79" s="733"/>
      <c r="C79" s="716" t="s">
        <v>3131</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42"/>
      <c r="F81" s="487" t="s">
        <v>3912</v>
      </c>
      <c r="H81" s="1442"/>
      <c r="I81" s="713" t="s">
        <v>3911</v>
      </c>
      <c r="K81" s="1442"/>
      <c r="L81" s="458" t="s">
        <v>144</v>
      </c>
    </row>
    <row r="82" spans="1:16" s="458" customFormat="1" ht="13.15" customHeight="1">
      <c r="A82" s="733"/>
      <c r="B82" s="733"/>
      <c r="D82" s="480"/>
      <c r="E82" s="1442" t="s">
        <v>3926</v>
      </c>
      <c r="F82" s="713" t="s">
        <v>650</v>
      </c>
      <c r="H82" s="1442"/>
      <c r="I82" s="715" t="s">
        <v>3231</v>
      </c>
      <c r="K82" s="1442"/>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1833</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846</v>
      </c>
      <c r="D86" s="721"/>
      <c r="E86" s="1445"/>
      <c r="F86" s="1446"/>
      <c r="G86" s="1446"/>
      <c r="H86" s="1446"/>
      <c r="I86" s="1446"/>
      <c r="J86" s="1446"/>
      <c r="K86" s="1446"/>
      <c r="L86" s="1447"/>
      <c r="M86" s="793" t="s">
        <v>847</v>
      </c>
      <c r="N86" s="793"/>
      <c r="O86" s="1561"/>
      <c r="P86" s="1562"/>
    </row>
    <row r="87" spans="1:16" s="458" customFormat="1" ht="13.15" customHeight="1">
      <c r="C87" s="464" t="s">
        <v>1640</v>
      </c>
      <c r="D87" s="472"/>
      <c r="E87" s="1445"/>
      <c r="F87" s="1446"/>
      <c r="G87" s="1446"/>
      <c r="H87" s="1446"/>
      <c r="I87" s="1446"/>
      <c r="J87" s="1446"/>
      <c r="K87" s="1446"/>
      <c r="L87" s="1447"/>
      <c r="M87" s="793" t="s">
        <v>1389</v>
      </c>
      <c r="N87" s="793"/>
      <c r="O87" s="1483"/>
      <c r="P87" s="1485"/>
    </row>
    <row r="88" spans="1:16" s="458" customFormat="1" ht="13.15" customHeight="1">
      <c r="C88" s="464" t="s">
        <v>952</v>
      </c>
      <c r="E88" s="1445"/>
      <c r="F88" s="1190"/>
      <c r="G88" s="1191"/>
      <c r="H88" s="717" t="s">
        <v>2829</v>
      </c>
      <c r="I88" s="1442"/>
      <c r="J88" s="493" t="s">
        <v>3352</v>
      </c>
      <c r="K88" s="1479"/>
      <c r="L88" s="1191"/>
      <c r="M88" s="418"/>
      <c r="N88" s="418"/>
      <c r="O88" s="418"/>
      <c r="P88" s="418"/>
    </row>
    <row r="89" spans="1:16" s="458" customFormat="1" ht="13.15" customHeight="1">
      <c r="C89" s="458" t="s">
        <v>3300</v>
      </c>
      <c r="E89" s="1445"/>
      <c r="F89" s="1190"/>
      <c r="G89" s="1191"/>
      <c r="H89" s="723" t="s">
        <v>3055</v>
      </c>
      <c r="I89" s="1445"/>
      <c r="J89" s="1190"/>
      <c r="K89" s="1191"/>
      <c r="L89" s="735" t="s">
        <v>3059</v>
      </c>
      <c r="M89" s="1445"/>
      <c r="N89" s="1190"/>
      <c r="O89" s="1190"/>
      <c r="P89" s="1191"/>
    </row>
    <row r="90" spans="1:16" s="458" customFormat="1" ht="13.15" customHeight="1">
      <c r="C90" s="464" t="s">
        <v>3299</v>
      </c>
      <c r="E90" s="1476"/>
      <c r="F90" s="1477"/>
      <c r="G90" s="1478"/>
      <c r="H90" s="723" t="s">
        <v>2832</v>
      </c>
      <c r="I90" s="1482"/>
      <c r="J90" s="1191"/>
      <c r="K90" s="493" t="s">
        <v>2833</v>
      </c>
      <c r="L90" s="1482"/>
      <c r="M90" s="1191"/>
      <c r="N90" s="493" t="s">
        <v>3054</v>
      </c>
      <c r="O90" s="1482"/>
      <c r="P90" s="1191"/>
    </row>
    <row r="91" spans="1:16" s="458" customFormat="1" ht="3" customHeight="1">
      <c r="A91" s="733"/>
      <c r="B91" s="733"/>
      <c r="G91" s="480"/>
      <c r="H91" s="723"/>
      <c r="I91" s="723"/>
      <c r="M91" s="469"/>
    </row>
    <row r="92" spans="1:16" s="458" customFormat="1" ht="13.15" customHeight="1">
      <c r="A92" s="491" t="s">
        <v>463</v>
      </c>
      <c r="B92" s="733"/>
      <c r="C92" s="716" t="s">
        <v>2664</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3255</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3058</v>
      </c>
      <c r="C96" s="716" t="s">
        <v>2121</v>
      </c>
      <c r="D96" s="715"/>
      <c r="E96" s="715"/>
      <c r="F96" s="723"/>
      <c r="G96" s="723"/>
      <c r="H96" s="1480">
        <v>1</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3061</v>
      </c>
      <c r="C98" s="716" t="s">
        <v>525</v>
      </c>
      <c r="D98" s="715"/>
      <c r="E98" s="715"/>
      <c r="F98" s="723"/>
      <c r="G98" s="723"/>
      <c r="H98" s="1563">
        <v>1375000</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1237</v>
      </c>
      <c r="C100" s="716" t="s">
        <v>395</v>
      </c>
      <c r="D100" s="715"/>
      <c r="E100" s="715"/>
      <c r="F100" s="723"/>
      <c r="G100" s="723"/>
      <c r="H100" s="723"/>
      <c r="I100" s="723"/>
      <c r="J100" s="480"/>
      <c r="K100" s="723"/>
      <c r="L100" s="723"/>
      <c r="N100" s="721"/>
      <c r="O100" s="721"/>
    </row>
    <row r="101" spans="1:16" s="458" customFormat="1" ht="13.15" customHeight="1">
      <c r="B101" s="733"/>
      <c r="C101" s="715" t="s">
        <v>3233</v>
      </c>
      <c r="D101" s="715"/>
      <c r="F101" s="715" t="s">
        <v>1772</v>
      </c>
      <c r="G101" s="723"/>
      <c r="H101" s="723"/>
      <c r="I101" s="723"/>
      <c r="J101" s="715" t="s">
        <v>3233</v>
      </c>
      <c r="K101" s="715"/>
      <c r="M101" s="715" t="s">
        <v>1772</v>
      </c>
      <c r="N101" s="723"/>
      <c r="O101" s="723"/>
      <c r="P101" s="723"/>
    </row>
    <row r="102" spans="1:16" s="458" customFormat="1" ht="13.15" customHeight="1">
      <c r="A102" s="733"/>
      <c r="B102" s="733"/>
      <c r="C102" s="1564" t="s">
        <v>4078</v>
      </c>
      <c r="D102" s="1565"/>
      <c r="E102" s="1565"/>
      <c r="F102" s="1565"/>
      <c r="G102" s="1565"/>
      <c r="H102" s="1565"/>
      <c r="I102" s="1566"/>
      <c r="J102" s="1564"/>
      <c r="K102" s="1565"/>
      <c r="L102" s="1565"/>
      <c r="M102" s="1565"/>
      <c r="N102" s="1565"/>
      <c r="O102" s="1565"/>
      <c r="P102" s="1566"/>
    </row>
    <row r="103" spans="1:16" s="458" customFormat="1" ht="13.15" customHeight="1">
      <c r="A103" s="733"/>
      <c r="B103" s="733"/>
      <c r="C103" s="1567"/>
      <c r="D103" s="1568"/>
      <c r="E103" s="1569"/>
      <c r="F103" s="1570"/>
      <c r="G103" s="1570"/>
      <c r="H103" s="1570"/>
      <c r="I103" s="1571"/>
      <c r="J103" s="1572"/>
      <c r="K103" s="1570"/>
      <c r="L103" s="1570"/>
      <c r="M103" s="1570"/>
      <c r="N103" s="1570"/>
      <c r="O103" s="1570"/>
      <c r="P103" s="1571"/>
    </row>
    <row r="104" spans="1:16" s="458" customFormat="1" ht="13.15" customHeight="1">
      <c r="A104" s="733"/>
      <c r="B104" s="733"/>
      <c r="C104" s="1567"/>
      <c r="D104" s="1568"/>
      <c r="E104" s="1569"/>
      <c r="F104" s="1570"/>
      <c r="G104" s="1568"/>
      <c r="H104" s="1568"/>
      <c r="I104" s="1573"/>
      <c r="J104" s="1572"/>
      <c r="K104" s="1570"/>
      <c r="L104" s="1570"/>
      <c r="M104" s="1570"/>
      <c r="N104" s="1570"/>
      <c r="O104" s="1570"/>
      <c r="P104" s="1571"/>
    </row>
    <row r="105" spans="1:16" s="458" customFormat="1" ht="13.15" customHeight="1">
      <c r="A105" s="733"/>
      <c r="B105" s="733"/>
      <c r="C105" s="1567"/>
      <c r="D105" s="1568"/>
      <c r="E105" s="1569"/>
      <c r="F105" s="1570"/>
      <c r="G105" s="1568"/>
      <c r="H105" s="1568"/>
      <c r="I105" s="1573"/>
      <c r="J105" s="1572"/>
      <c r="K105" s="1570"/>
      <c r="L105" s="1570"/>
      <c r="M105" s="1570"/>
      <c r="N105" s="1570"/>
      <c r="O105" s="1570"/>
      <c r="P105" s="1571"/>
    </row>
    <row r="106" spans="1:16" s="458" customFormat="1" ht="13.15" customHeight="1">
      <c r="A106" s="733"/>
      <c r="B106" s="733"/>
      <c r="C106" s="1567"/>
      <c r="D106" s="1568"/>
      <c r="E106" s="1569"/>
      <c r="F106" s="1570"/>
      <c r="G106" s="1568"/>
      <c r="H106" s="1568"/>
      <c r="I106" s="1573"/>
      <c r="J106" s="1572"/>
      <c r="K106" s="1570"/>
      <c r="L106" s="1570"/>
      <c r="M106" s="1570"/>
      <c r="N106" s="1570"/>
      <c r="O106" s="1570"/>
      <c r="P106" s="1571"/>
    </row>
    <row r="107" spans="1:16" s="458" customFormat="1" ht="13.15" customHeight="1">
      <c r="A107" s="733"/>
      <c r="B107" s="733"/>
      <c r="C107" s="1567"/>
      <c r="D107" s="1568"/>
      <c r="E107" s="1569"/>
      <c r="F107" s="1570"/>
      <c r="G107" s="1568"/>
      <c r="H107" s="1568"/>
      <c r="I107" s="1573"/>
      <c r="J107" s="1572"/>
      <c r="K107" s="1570"/>
      <c r="L107" s="1570"/>
      <c r="M107" s="1570"/>
      <c r="N107" s="1570"/>
      <c r="O107" s="1570"/>
      <c r="P107" s="1571"/>
    </row>
    <row r="108" spans="1:16" s="458" customFormat="1" ht="13.15" customHeight="1">
      <c r="A108" s="733"/>
      <c r="B108" s="733"/>
      <c r="C108" s="1574"/>
      <c r="D108" s="1575"/>
      <c r="E108" s="1576"/>
      <c r="F108" s="1577"/>
      <c r="G108" s="1575"/>
      <c r="H108" s="1575"/>
      <c r="I108" s="1578"/>
      <c r="J108" s="1579"/>
      <c r="K108" s="1580"/>
      <c r="L108" s="1580"/>
      <c r="M108" s="1580"/>
      <c r="N108" s="1580"/>
      <c r="O108" s="1580"/>
      <c r="P108" s="1581"/>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3210</v>
      </c>
      <c r="C110" s="801" t="s">
        <v>2898</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3233</v>
      </c>
      <c r="D112" s="715"/>
      <c r="F112" s="715" t="s">
        <v>1772</v>
      </c>
      <c r="G112" s="723"/>
      <c r="H112" s="723"/>
      <c r="I112" s="723"/>
      <c r="J112" s="715" t="s">
        <v>3233</v>
      </c>
      <c r="K112" s="715"/>
      <c r="M112" s="715" t="s">
        <v>1772</v>
      </c>
      <c r="N112" s="723"/>
      <c r="O112" s="723"/>
      <c r="P112" s="723"/>
    </row>
    <row r="113" spans="1:16" s="458" customFormat="1" ht="13.15" customHeight="1">
      <c r="A113" s="733"/>
      <c r="B113" s="733"/>
      <c r="C113" s="1564">
        <v>1</v>
      </c>
      <c r="D113" s="1565"/>
      <c r="E113" s="1565"/>
      <c r="F113" s="1565"/>
      <c r="G113" s="1565"/>
      <c r="H113" s="1565"/>
      <c r="I113" s="1566"/>
      <c r="J113" s="1564">
        <v>8</v>
      </c>
      <c r="K113" s="1565"/>
      <c r="L113" s="1565"/>
      <c r="M113" s="1565"/>
      <c r="N113" s="1565"/>
      <c r="O113" s="1565"/>
      <c r="P113" s="1566"/>
    </row>
    <row r="114" spans="1:16" s="458" customFormat="1" ht="13.15" customHeight="1">
      <c r="A114" s="733"/>
      <c r="B114" s="733"/>
      <c r="C114" s="1572">
        <v>2</v>
      </c>
      <c r="D114" s="1570"/>
      <c r="E114" s="1570"/>
      <c r="F114" s="1570"/>
      <c r="G114" s="1570"/>
      <c r="H114" s="1570"/>
      <c r="I114" s="1571"/>
      <c r="J114" s="1572">
        <v>9</v>
      </c>
      <c r="K114" s="1570"/>
      <c r="L114" s="1570"/>
      <c r="M114" s="1570"/>
      <c r="N114" s="1570"/>
      <c r="O114" s="1570"/>
      <c r="P114" s="1571"/>
    </row>
    <row r="115" spans="1:16" s="458" customFormat="1" ht="13.15" customHeight="1">
      <c r="A115" s="733"/>
      <c r="B115" s="733"/>
      <c r="C115" s="1572">
        <v>3</v>
      </c>
      <c r="D115" s="1570"/>
      <c r="E115" s="1570"/>
      <c r="F115" s="1570"/>
      <c r="G115" s="1570"/>
      <c r="H115" s="1570"/>
      <c r="I115" s="1571"/>
      <c r="J115" s="1572">
        <v>10</v>
      </c>
      <c r="K115" s="1570"/>
      <c r="L115" s="1570"/>
      <c r="M115" s="1570"/>
      <c r="N115" s="1570"/>
      <c r="O115" s="1570"/>
      <c r="P115" s="1571"/>
    </row>
    <row r="116" spans="1:16" s="458" customFormat="1" ht="13.15" customHeight="1">
      <c r="A116" s="733"/>
      <c r="B116" s="733"/>
      <c r="C116" s="1572">
        <v>4</v>
      </c>
      <c r="D116" s="1570"/>
      <c r="E116" s="1570"/>
      <c r="F116" s="1570"/>
      <c r="G116" s="1570"/>
      <c r="H116" s="1570"/>
      <c r="I116" s="1571"/>
      <c r="J116" s="1572">
        <v>11</v>
      </c>
      <c r="K116" s="1570"/>
      <c r="L116" s="1570"/>
      <c r="M116" s="1570"/>
      <c r="N116" s="1570"/>
      <c r="O116" s="1570"/>
      <c r="P116" s="1571"/>
    </row>
    <row r="117" spans="1:16" s="458" customFormat="1" ht="13.15" customHeight="1">
      <c r="A117" s="733"/>
      <c r="B117" s="733"/>
      <c r="C117" s="1572">
        <v>5</v>
      </c>
      <c r="D117" s="1570"/>
      <c r="E117" s="1570"/>
      <c r="F117" s="1570"/>
      <c r="G117" s="1570"/>
      <c r="H117" s="1570"/>
      <c r="I117" s="1571"/>
      <c r="J117" s="1572">
        <v>12</v>
      </c>
      <c r="K117" s="1570"/>
      <c r="L117" s="1570"/>
      <c r="M117" s="1570"/>
      <c r="N117" s="1570"/>
      <c r="O117" s="1570"/>
      <c r="P117" s="1571"/>
    </row>
    <row r="118" spans="1:16" s="458" customFormat="1" ht="13.15" customHeight="1">
      <c r="A118" s="733"/>
      <c r="B118" s="733"/>
      <c r="C118" s="1572">
        <v>6</v>
      </c>
      <c r="D118" s="1570"/>
      <c r="E118" s="1570"/>
      <c r="F118" s="1570"/>
      <c r="G118" s="1570"/>
      <c r="H118" s="1570"/>
      <c r="I118" s="1571"/>
      <c r="J118" s="1572">
        <v>13</v>
      </c>
      <c r="K118" s="1570"/>
      <c r="L118" s="1570"/>
      <c r="M118" s="1570"/>
      <c r="N118" s="1570"/>
      <c r="O118" s="1570"/>
      <c r="P118" s="1571"/>
    </row>
    <row r="119" spans="1:16" s="458" customFormat="1" ht="13.15" customHeight="1">
      <c r="A119" s="733"/>
      <c r="B119" s="733"/>
      <c r="C119" s="1579">
        <v>7</v>
      </c>
      <c r="D119" s="1580"/>
      <c r="E119" s="1580"/>
      <c r="F119" s="1580"/>
      <c r="G119" s="1580"/>
      <c r="H119" s="1580"/>
      <c r="I119" s="1581"/>
      <c r="J119" s="1579">
        <v>14</v>
      </c>
      <c r="K119" s="1580"/>
      <c r="L119" s="1580"/>
      <c r="M119" s="1580"/>
      <c r="N119" s="1580"/>
      <c r="O119" s="1580"/>
      <c r="P119" s="1581"/>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464</v>
      </c>
      <c r="B121" s="733"/>
      <c r="C121" s="488" t="s">
        <v>3663</v>
      </c>
      <c r="D121" s="488"/>
      <c r="E121" s="488"/>
      <c r="F121" s="488"/>
      <c r="H121" s="1442" t="s">
        <v>3926</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3058</v>
      </c>
      <c r="C123" s="465" t="s">
        <v>2730</v>
      </c>
      <c r="H123" s="1442" t="s">
        <v>3926</v>
      </c>
      <c r="M123" s="723"/>
      <c r="N123" s="721"/>
      <c r="O123" s="721"/>
      <c r="P123" s="469"/>
    </row>
    <row r="124" spans="1:16" s="458" customFormat="1" ht="13.15" customHeight="1">
      <c r="A124" s="733"/>
      <c r="B124" s="733"/>
      <c r="C124" s="715" t="s">
        <v>3665</v>
      </c>
      <c r="D124" s="715"/>
      <c r="E124" s="715"/>
      <c r="F124" s="723"/>
      <c r="H124" s="1582">
        <v>1994</v>
      </c>
      <c r="N124" s="721"/>
      <c r="O124" s="721"/>
      <c r="P124" s="469"/>
    </row>
    <row r="125" spans="1:16" s="458" customFormat="1" ht="13.15" customHeight="1">
      <c r="A125" s="733"/>
      <c r="B125" s="733"/>
      <c r="C125" s="496" t="s">
        <v>2729</v>
      </c>
      <c r="D125" s="464"/>
      <c r="H125" s="1445" t="s">
        <v>3934</v>
      </c>
      <c r="I125" s="1447"/>
      <c r="P125" s="469"/>
    </row>
    <row r="126" spans="1:16" s="458" customFormat="1" ht="13.15" customHeight="1">
      <c r="A126" s="733"/>
      <c r="B126" s="733"/>
      <c r="C126" s="715" t="s">
        <v>3666</v>
      </c>
      <c r="D126" s="715"/>
      <c r="E126" s="715"/>
      <c r="F126" s="723"/>
      <c r="H126" s="1582">
        <v>1994</v>
      </c>
      <c r="K126" s="418" t="s">
        <v>3373</v>
      </c>
      <c r="O126" s="1445" t="s">
        <v>3935</v>
      </c>
      <c r="P126" s="1447"/>
    </row>
    <row r="127" spans="1:16" s="458" customFormat="1" ht="13.15" customHeight="1">
      <c r="A127" s="733"/>
      <c r="B127" s="733"/>
      <c r="C127" s="715" t="s">
        <v>3664</v>
      </c>
      <c r="F127" s="723"/>
      <c r="H127" s="1480" t="s">
        <v>3926</v>
      </c>
      <c r="K127" s="418" t="s">
        <v>3374</v>
      </c>
      <c r="O127" s="1445" t="s">
        <v>3935</v>
      </c>
      <c r="P127" s="1447"/>
    </row>
    <row r="128" spans="1:16" s="458" customFormat="1" ht="13.15" customHeight="1">
      <c r="A128" s="733"/>
      <c r="B128" s="733"/>
      <c r="C128" s="715" t="s">
        <v>3271</v>
      </c>
      <c r="D128" s="715"/>
      <c r="E128" s="715"/>
      <c r="F128" s="723"/>
      <c r="H128" s="1561">
        <v>40178</v>
      </c>
      <c r="I128" s="1562"/>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3061</v>
      </c>
      <c r="C130" s="716" t="s">
        <v>3768</v>
      </c>
      <c r="D130" s="715"/>
      <c r="E130" s="715"/>
      <c r="F130" s="723"/>
      <c r="H130" s="1480" t="s">
        <v>3926</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1237</v>
      </c>
      <c r="C132" s="716" t="s">
        <v>980</v>
      </c>
      <c r="D132" s="715"/>
      <c r="E132" s="715"/>
      <c r="F132" s="723"/>
      <c r="G132" s="723"/>
      <c r="N132" s="721"/>
      <c r="O132" s="721"/>
      <c r="P132" s="469"/>
    </row>
    <row r="133" spans="1:16" s="458" customFormat="1" ht="13.15" customHeight="1">
      <c r="A133" s="733"/>
      <c r="B133" s="733"/>
      <c r="C133" s="715" t="s">
        <v>1084</v>
      </c>
      <c r="D133" s="715"/>
      <c r="E133" s="715"/>
      <c r="F133" s="723"/>
      <c r="G133" s="723"/>
      <c r="H133" s="1480" t="s">
        <v>3926</v>
      </c>
      <c r="K133" s="715" t="s">
        <v>2285</v>
      </c>
      <c r="L133" s="715"/>
      <c r="M133" s="723"/>
      <c r="N133" s="723"/>
      <c r="O133" s="1480" t="s">
        <v>3925</v>
      </c>
      <c r="P133" s="469"/>
    </row>
    <row r="134" spans="1:16" s="458" customFormat="1" ht="13.15" customHeight="1">
      <c r="A134" s="733"/>
      <c r="B134" s="733"/>
      <c r="C134" s="715" t="s">
        <v>1085</v>
      </c>
      <c r="D134" s="715"/>
      <c r="E134" s="715"/>
      <c r="F134" s="723"/>
      <c r="G134" s="723"/>
      <c r="H134" s="1480" t="s">
        <v>3925</v>
      </c>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465</v>
      </c>
      <c r="B136" s="733"/>
      <c r="C136" s="488" t="s">
        <v>1834</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3058</v>
      </c>
      <c r="C138" s="479" t="s">
        <v>2863</v>
      </c>
      <c r="F138" s="723"/>
      <c r="G138" s="723"/>
      <c r="H138" s="723"/>
      <c r="I138" s="723"/>
      <c r="J138" s="480"/>
      <c r="K138" s="723"/>
      <c r="L138" s="723"/>
      <c r="N138" s="721"/>
      <c r="O138" s="721"/>
      <c r="P138" s="469"/>
    </row>
    <row r="139" spans="1:16" s="458" customFormat="1" ht="12.6" customHeight="1">
      <c r="A139" s="733"/>
      <c r="B139" s="733"/>
      <c r="C139" s="487" t="s">
        <v>2277</v>
      </c>
      <c r="D139" s="480"/>
      <c r="E139" s="480"/>
      <c r="F139" s="723"/>
      <c r="G139" s="723"/>
      <c r="H139" s="723"/>
      <c r="I139" s="723"/>
      <c r="K139" s="1480" t="s">
        <v>3925</v>
      </c>
      <c r="N139" s="721"/>
      <c r="O139" s="721"/>
      <c r="P139" s="469"/>
    </row>
    <row r="140" spans="1:16" s="458" customFormat="1" ht="12.6" customHeight="1">
      <c r="A140" s="733"/>
      <c r="B140" s="733"/>
      <c r="C140" s="458" t="s">
        <v>948</v>
      </c>
      <c r="K140" s="1555"/>
      <c r="L140" s="464" t="s">
        <v>2825</v>
      </c>
      <c r="P140" s="497">
        <f>IF('Part VI-Revenues &amp; Expenses'!$M$61=0,0,$K140/'Part VI-Revenues &amp; Expenses'!$M$61)</f>
        <v>0</v>
      </c>
    </row>
    <row r="141" spans="1:16" s="458" customFormat="1" ht="12.6" customHeight="1">
      <c r="A141" s="733"/>
      <c r="B141" s="733"/>
      <c r="C141" s="458" t="s">
        <v>3272</v>
      </c>
      <c r="K141" s="1555"/>
      <c r="L141" s="464" t="s">
        <v>2825</v>
      </c>
      <c r="P141" s="497">
        <f>IF('Part VI-Revenues &amp; Expenses'!$M$61=0,0,$K141/'Part VI-Revenues &amp; Expenses'!$M$61)</f>
        <v>0</v>
      </c>
    </row>
    <row r="142" spans="1:16" s="458" customFormat="1" ht="12.6" customHeight="1">
      <c r="A142" s="733"/>
      <c r="B142" s="733"/>
      <c r="C142" s="458" t="s">
        <v>2826</v>
      </c>
      <c r="E142" s="1445"/>
      <c r="F142" s="1446"/>
      <c r="G142" s="1446"/>
      <c r="H142" s="1446"/>
      <c r="I142" s="1446"/>
      <c r="J142" s="1446"/>
      <c r="K142" s="1447"/>
      <c r="L142" s="498" t="s">
        <v>2827</v>
      </c>
      <c r="M142" s="1445"/>
      <c r="N142" s="1446"/>
      <c r="O142" s="1446"/>
      <c r="P142" s="1447"/>
    </row>
    <row r="143" spans="1:16" s="458" customFormat="1" ht="12.6" customHeight="1">
      <c r="A143" s="733"/>
      <c r="B143" s="733"/>
      <c r="C143" s="464" t="s">
        <v>2828</v>
      </c>
      <c r="D143" s="472"/>
      <c r="E143" s="1445"/>
      <c r="F143" s="1446"/>
      <c r="G143" s="1446"/>
      <c r="H143" s="1446"/>
      <c r="I143" s="1446"/>
      <c r="J143" s="1446"/>
      <c r="K143" s="1583"/>
      <c r="L143" s="713" t="s">
        <v>2830</v>
      </c>
      <c r="M143" s="1483"/>
      <c r="N143" s="1484"/>
      <c r="O143" s="1484"/>
      <c r="P143" s="1485"/>
    </row>
    <row r="144" spans="1:16" s="458" customFormat="1" ht="12.6" customHeight="1">
      <c r="A144" s="733"/>
      <c r="B144" s="733"/>
      <c r="C144" s="464" t="s">
        <v>952</v>
      </c>
      <c r="E144" s="1445"/>
      <c r="F144" s="1446"/>
      <c r="G144" s="1446"/>
      <c r="H144" s="1447"/>
      <c r="I144" s="493" t="s">
        <v>3352</v>
      </c>
      <c r="J144" s="1479"/>
      <c r="K144" s="1532"/>
      <c r="L144" s="498" t="s">
        <v>2833</v>
      </c>
      <c r="M144" s="1476"/>
      <c r="N144" s="1477"/>
      <c r="O144" s="1478"/>
    </row>
    <row r="145" spans="1:16" s="458" customFormat="1" ht="12.6" customHeight="1">
      <c r="A145" s="733"/>
      <c r="B145" s="733"/>
      <c r="C145" s="464" t="s">
        <v>2831</v>
      </c>
      <c r="E145" s="1476"/>
      <c r="F145" s="1477"/>
      <c r="G145" s="1478"/>
      <c r="H145" s="499" t="s">
        <v>2832</v>
      </c>
      <c r="I145" s="1476"/>
      <c r="J145" s="1477"/>
      <c r="K145" s="1478"/>
      <c r="L145" s="500" t="s">
        <v>3054</v>
      </c>
      <c r="M145" s="1476"/>
      <c r="N145" s="1477"/>
      <c r="O145" s="1478"/>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3061</v>
      </c>
      <c r="C147" s="716" t="s">
        <v>2371</v>
      </c>
      <c r="D147" s="716"/>
      <c r="E147" s="716"/>
      <c r="F147" s="716"/>
      <c r="G147" s="716"/>
      <c r="I147" s="1480" t="s">
        <v>3925</v>
      </c>
      <c r="J147" s="778" t="s">
        <v>1252</v>
      </c>
      <c r="K147" s="779"/>
      <c r="L147" s="1480"/>
      <c r="M147" s="775" t="s">
        <v>3469</v>
      </c>
      <c r="N147" s="776"/>
      <c r="O147" s="777"/>
      <c r="P147" s="1582">
        <v>5</v>
      </c>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1237</v>
      </c>
      <c r="C149" s="716" t="s">
        <v>2784</v>
      </c>
      <c r="D149" s="716"/>
      <c r="E149" s="716"/>
      <c r="F149" s="716"/>
      <c r="G149" s="716"/>
      <c r="I149" s="1480" t="s">
        <v>3925</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3210</v>
      </c>
      <c r="C151" s="787" t="s">
        <v>3053</v>
      </c>
      <c r="D151" s="787"/>
      <c r="E151" s="787"/>
      <c r="F151" s="787"/>
      <c r="G151" s="716"/>
      <c r="I151" s="1480" t="s">
        <v>3926</v>
      </c>
    </row>
    <row r="152" spans="1:16" s="458" customFormat="1" ht="12.6" customHeight="1">
      <c r="B152" s="733"/>
      <c r="C152" s="786" t="s">
        <v>2208</v>
      </c>
      <c r="D152" s="786"/>
      <c r="E152" s="716"/>
      <c r="F152" s="716"/>
      <c r="G152" s="716"/>
      <c r="I152" s="1584">
        <v>201</v>
      </c>
    </row>
    <row r="153" spans="1:16" s="458" customFormat="1" ht="12.6" customHeight="1">
      <c r="A153" s="733"/>
      <c r="B153" s="733"/>
      <c r="C153" s="781" t="s">
        <v>1378</v>
      </c>
      <c r="D153" s="781"/>
      <c r="E153" s="461"/>
      <c r="F153" s="716"/>
      <c r="G153" s="716"/>
      <c r="I153" s="1584">
        <v>193</v>
      </c>
      <c r="K153" s="468"/>
      <c r="P153" s="469"/>
    </row>
    <row r="154" spans="1:16" s="458" customFormat="1" ht="12.6" customHeight="1">
      <c r="B154" s="733"/>
      <c r="C154" s="781" t="s">
        <v>2821</v>
      </c>
      <c r="D154" s="781"/>
      <c r="E154" s="461"/>
      <c r="F154" s="716"/>
      <c r="G154" s="716"/>
      <c r="I154" s="503">
        <f>IF(I152="","",I153/I152)</f>
        <v>0.96019900497512434</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2761</v>
      </c>
      <c r="C156" s="395" t="s">
        <v>2372</v>
      </c>
      <c r="D156" s="715"/>
      <c r="E156" s="715"/>
      <c r="F156" s="715"/>
      <c r="G156" s="715"/>
      <c r="H156" s="723"/>
      <c r="J156" s="468"/>
      <c r="K156" s="480"/>
      <c r="M156" s="721"/>
      <c r="O156" s="723"/>
      <c r="P156" s="469"/>
    </row>
    <row r="157" spans="1:16" s="458" customFormat="1" ht="12.6" customHeight="1">
      <c r="A157" s="733"/>
      <c r="B157" s="733"/>
      <c r="C157" s="721" t="s">
        <v>3326</v>
      </c>
      <c r="D157" s="470"/>
      <c r="E157" s="721"/>
      <c r="F157" s="721"/>
      <c r="I157" s="1480"/>
      <c r="L157" s="721" t="s">
        <v>3325</v>
      </c>
      <c r="P157" s="1480"/>
    </row>
    <row r="158" spans="1:16" s="458" customFormat="1" ht="12.6" customHeight="1">
      <c r="A158" s="733"/>
      <c r="B158" s="733"/>
      <c r="C158" s="721" t="s">
        <v>3328</v>
      </c>
      <c r="I158" s="1480" t="s">
        <v>3925</v>
      </c>
      <c r="L158" s="721" t="s">
        <v>2374</v>
      </c>
      <c r="P158" s="1480"/>
    </row>
    <row r="159" spans="1:16" s="458" customFormat="1" ht="12.6" customHeight="1">
      <c r="A159" s="733"/>
      <c r="C159" s="721" t="s">
        <v>1978</v>
      </c>
      <c r="D159" s="505"/>
      <c r="I159" s="1480"/>
      <c r="L159" s="721" t="s">
        <v>2543</v>
      </c>
      <c r="P159" s="1480"/>
    </row>
    <row r="160" spans="1:16" s="458" customFormat="1" ht="12.6" customHeight="1">
      <c r="A160" s="733"/>
      <c r="B160" s="733"/>
      <c r="C160" s="721" t="s">
        <v>2373</v>
      </c>
      <c r="D160" s="470"/>
      <c r="E160" s="721"/>
      <c r="F160" s="721"/>
      <c r="I160" s="1480"/>
      <c r="K160" s="470"/>
      <c r="L160" s="721" t="s">
        <v>2288</v>
      </c>
      <c r="M160" s="721"/>
      <c r="P160" s="1480"/>
    </row>
    <row r="161" spans="1:16" s="458" customFormat="1" ht="12.6" customHeight="1">
      <c r="A161" s="733"/>
      <c r="B161" s="733"/>
      <c r="C161" s="721" t="s">
        <v>2375</v>
      </c>
      <c r="D161" s="470"/>
      <c r="E161" s="721"/>
      <c r="F161" s="721"/>
      <c r="I161" s="1480" t="s">
        <v>3926</v>
      </c>
      <c r="K161" s="470"/>
      <c r="L161" s="721"/>
      <c r="M161" s="721"/>
    </row>
    <row r="162" spans="1:16" s="458" customFormat="1" ht="12.6" customHeight="1">
      <c r="A162" s="733"/>
      <c r="B162" s="461"/>
      <c r="C162" s="721" t="s">
        <v>2843</v>
      </c>
      <c r="D162" s="470"/>
      <c r="I162" s="1480"/>
      <c r="J162" s="504" t="s">
        <v>3372</v>
      </c>
      <c r="O162" s="1585"/>
      <c r="P162" s="1586"/>
    </row>
    <row r="163" spans="1:16" s="458" customFormat="1" ht="12.6" customHeight="1">
      <c r="A163" s="733"/>
      <c r="B163" s="733"/>
      <c r="C163" s="721" t="s">
        <v>3408</v>
      </c>
      <c r="E163" s="1556" t="s">
        <v>3995</v>
      </c>
      <c r="F163" s="1587"/>
      <c r="G163" s="1587"/>
      <c r="H163" s="1557"/>
      <c r="I163" s="1480" t="s">
        <v>3926</v>
      </c>
    </row>
    <row r="164" spans="1:16" s="458" customFormat="1" ht="1.9" customHeight="1">
      <c r="A164" s="733"/>
      <c r="B164" s="733"/>
      <c r="P164" s="468"/>
    </row>
    <row r="165" spans="1:16" s="458" customFormat="1" ht="13.15" customHeight="1">
      <c r="B165" s="733" t="s">
        <v>2762</v>
      </c>
      <c r="C165" s="465" t="s">
        <v>1227</v>
      </c>
    </row>
    <row r="166" spans="1:16" s="458" customFormat="1" ht="12.6" customHeight="1">
      <c r="A166" s="733"/>
      <c r="B166" s="733"/>
      <c r="C166" s="464" t="s">
        <v>974</v>
      </c>
      <c r="D166" s="715"/>
      <c r="E166" s="715"/>
      <c r="F166" s="723"/>
      <c r="G166" s="723"/>
      <c r="I166" s="1561">
        <v>41030</v>
      </c>
      <c r="J166" s="1562"/>
      <c r="N166" s="721"/>
      <c r="O166" s="721"/>
      <c r="P166" s="469"/>
    </row>
    <row r="167" spans="1:16" s="458" customFormat="1" ht="12.6" customHeight="1">
      <c r="A167" s="733"/>
      <c r="B167" s="733"/>
      <c r="C167" s="464" t="s">
        <v>367</v>
      </c>
      <c r="D167" s="715"/>
      <c r="E167" s="715"/>
      <c r="F167" s="723"/>
      <c r="G167" s="723"/>
      <c r="I167" s="1561">
        <v>41395</v>
      </c>
      <c r="J167" s="1562"/>
      <c r="N167" s="721"/>
      <c r="O167" s="721"/>
      <c r="P167" s="469"/>
    </row>
    <row r="168" spans="1:16" s="458" customFormat="1" ht="12.6" customHeight="1">
      <c r="A168" s="733"/>
      <c r="B168" s="733"/>
      <c r="C168" s="464" t="s">
        <v>3434</v>
      </c>
      <c r="D168" s="715"/>
      <c r="E168" s="715"/>
      <c r="F168" s="723"/>
      <c r="G168" s="723"/>
      <c r="I168" s="1561"/>
      <c r="J168" s="1562"/>
      <c r="N168" s="721"/>
      <c r="O168" s="721"/>
      <c r="P168" s="469"/>
    </row>
    <row r="169" spans="1:16" s="458" customFormat="1" ht="1.9" customHeight="1">
      <c r="B169" s="461"/>
      <c r="C169" s="721"/>
      <c r="H169" s="721"/>
      <c r="L169" s="482"/>
      <c r="M169" s="482"/>
      <c r="N169" s="482"/>
      <c r="O169" s="482"/>
      <c r="P169" s="466"/>
    </row>
    <row r="170" spans="1:16" ht="12" customHeight="1">
      <c r="A170" s="491" t="s">
        <v>2751</v>
      </c>
      <c r="C170" s="491" t="s">
        <v>878</v>
      </c>
      <c r="K170" s="491" t="s">
        <v>3379</v>
      </c>
      <c r="L170" s="491" t="s">
        <v>89</v>
      </c>
    </row>
    <row r="171" spans="1:16" ht="38.450000000000003" customHeight="1">
      <c r="A171" s="1291" t="s">
        <v>4051</v>
      </c>
      <c r="B171" s="1350"/>
      <c r="C171" s="1350"/>
      <c r="D171" s="1350"/>
      <c r="E171" s="1350"/>
      <c r="F171" s="1350"/>
      <c r="G171" s="1350"/>
      <c r="H171" s="1350"/>
      <c r="I171" s="1350"/>
      <c r="J171" s="1351"/>
      <c r="K171" s="1294"/>
      <c r="L171" s="1352"/>
      <c r="M171" s="1352"/>
      <c r="N171" s="1352"/>
      <c r="O171" s="1352"/>
      <c r="P171" s="1353"/>
    </row>
    <row r="172" spans="1:16" ht="38.450000000000003" customHeight="1">
      <c r="A172" s="1295" t="s">
        <v>4052</v>
      </c>
      <c r="B172" s="1354"/>
      <c r="C172" s="1354"/>
      <c r="D172" s="1354"/>
      <c r="E172" s="1354"/>
      <c r="F172" s="1354"/>
      <c r="G172" s="1354"/>
      <c r="H172" s="1354"/>
      <c r="I172" s="1354"/>
      <c r="J172" s="1355"/>
      <c r="K172" s="1298"/>
      <c r="L172" s="1356"/>
      <c r="M172" s="1356"/>
      <c r="N172" s="1356"/>
      <c r="O172" s="1356"/>
      <c r="P172" s="1357"/>
    </row>
    <row r="173" spans="1:16" ht="38.450000000000003" customHeight="1">
      <c r="A173" s="1299"/>
      <c r="B173" s="1358"/>
      <c r="C173" s="1358"/>
      <c r="D173" s="1358"/>
      <c r="E173" s="1358"/>
      <c r="F173" s="1358"/>
      <c r="G173" s="1358"/>
      <c r="H173" s="1358"/>
      <c r="I173" s="1358"/>
      <c r="J173" s="1359"/>
      <c r="K173" s="1302"/>
      <c r="L173" s="1360"/>
      <c r="M173" s="1360"/>
      <c r="N173" s="1360"/>
      <c r="O173" s="1360"/>
      <c r="P173" s="1361"/>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2829</v>
      </c>
      <c r="C182" s="623" t="s">
        <v>1867</v>
      </c>
      <c r="D182" s="623" t="s">
        <v>1868</v>
      </c>
      <c r="E182" s="623" t="s">
        <v>1869</v>
      </c>
      <c r="F182" s="623" t="s">
        <v>1791</v>
      </c>
      <c r="G182" s="623" t="s">
        <v>538</v>
      </c>
      <c r="H182" s="624" t="s">
        <v>1799</v>
      </c>
      <c r="I182" s="625"/>
      <c r="J182" s="623" t="s">
        <v>3635</v>
      </c>
      <c r="K182" s="623"/>
      <c r="L182" s="626"/>
      <c r="M182" s="627"/>
      <c r="N182" s="627" t="s">
        <v>952</v>
      </c>
      <c r="O182" s="628" t="s">
        <v>953</v>
      </c>
      <c r="P182" s="627" t="s">
        <v>3241</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3636</v>
      </c>
      <c r="O183" s="636" t="s">
        <v>3025</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3760</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3174</v>
      </c>
      <c r="K186" s="635"/>
      <c r="L186" s="626"/>
      <c r="M186" s="627"/>
      <c r="N186" s="636" t="s">
        <v>677</v>
      </c>
      <c r="O186" s="636" t="s">
        <v>3816</v>
      </c>
      <c r="P186" s="507" t="s">
        <v>2380</v>
      </c>
      <c r="Q186" s="611"/>
      <c r="S186" s="611"/>
      <c r="T186" s="636" t="s">
        <v>2368</v>
      </c>
      <c r="U186" s="636" t="s">
        <v>3815</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3176</v>
      </c>
      <c r="K187" s="635"/>
      <c r="L187" s="626"/>
      <c r="M187" s="627"/>
      <c r="N187" s="636" t="s">
        <v>3175</v>
      </c>
      <c r="O187" s="636" t="s">
        <v>427</v>
      </c>
      <c r="P187" s="507" t="s">
        <v>2381</v>
      </c>
      <c r="Q187" s="611"/>
      <c r="S187" s="611"/>
      <c r="T187" s="636" t="s">
        <v>2851</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2864</v>
      </c>
      <c r="H188" s="632" t="s">
        <v>536</v>
      </c>
      <c r="I188" s="633"/>
      <c r="J188" s="634" t="s">
        <v>3178</v>
      </c>
      <c r="K188" s="635"/>
      <c r="L188" s="626"/>
      <c r="M188" s="627"/>
      <c r="N188" s="636" t="s">
        <v>3177</v>
      </c>
      <c r="O188" s="636" t="s">
        <v>241</v>
      </c>
      <c r="P188" s="507" t="s">
        <v>2382</v>
      </c>
      <c r="Q188" s="611"/>
      <c r="S188" s="611"/>
      <c r="T188" s="636" t="s">
        <v>3220</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3885</v>
      </c>
      <c r="H189" s="632" t="s">
        <v>537</v>
      </c>
      <c r="I189" s="638"/>
      <c r="J189" s="634" t="s">
        <v>3180</v>
      </c>
      <c r="K189" s="635"/>
      <c r="L189" s="626"/>
      <c r="M189" s="627"/>
      <c r="N189" s="636" t="s">
        <v>3179</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3885</v>
      </c>
      <c r="H190" s="632" t="s">
        <v>537</v>
      </c>
      <c r="I190" s="638"/>
      <c r="J190" s="634" t="s">
        <v>3182</v>
      </c>
      <c r="K190" s="635"/>
      <c r="L190" s="626"/>
      <c r="M190" s="627"/>
      <c r="N190" s="636" t="s">
        <v>3181</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3886</v>
      </c>
      <c r="H191" s="632" t="s">
        <v>536</v>
      </c>
      <c r="I191" s="633"/>
      <c r="J191" s="634" t="s">
        <v>3037</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3887</v>
      </c>
      <c r="H192" s="632" t="s">
        <v>536</v>
      </c>
      <c r="I192" s="633"/>
      <c r="J192" s="634" t="s">
        <v>237</v>
      </c>
      <c r="K192" s="639"/>
      <c r="L192" s="507"/>
      <c r="M192" s="627"/>
      <c r="N192" s="636" t="s">
        <v>3038</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3888</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3889</v>
      </c>
      <c r="H194" s="632" t="s">
        <v>536</v>
      </c>
      <c r="I194" s="638"/>
      <c r="J194" s="634" t="s">
        <v>657</v>
      </c>
      <c r="K194" s="635"/>
      <c r="L194" s="626"/>
      <c r="M194" s="627"/>
      <c r="N194" s="636" t="s">
        <v>240</v>
      </c>
      <c r="O194" s="636" t="s">
        <v>3632</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3890</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3891</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3909</v>
      </c>
      <c r="H198" s="632" t="s">
        <v>536</v>
      </c>
      <c r="I198" s="638"/>
      <c r="J198" s="634" t="s">
        <v>3391</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3910</v>
      </c>
      <c r="H199" s="632" t="s">
        <v>537</v>
      </c>
      <c r="I199" s="638"/>
      <c r="J199" s="634" t="s">
        <v>3393</v>
      </c>
      <c r="K199" s="635"/>
      <c r="L199" s="626"/>
      <c r="M199" s="627"/>
      <c r="N199" s="636" t="s">
        <v>3392</v>
      </c>
      <c r="O199" s="636" t="s">
        <v>3761</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2899</v>
      </c>
      <c r="O200" s="636" t="s">
        <v>3283</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3283</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3842</v>
      </c>
      <c r="K202" s="635"/>
      <c r="L202" s="626"/>
      <c r="M202" s="627"/>
      <c r="N202" s="636" t="s">
        <v>3843</v>
      </c>
      <c r="O202" s="636" t="s">
        <v>3820</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3844</v>
      </c>
      <c r="K203" s="635"/>
      <c r="L203" s="626"/>
      <c r="M203" s="627"/>
      <c r="N203" s="636" t="s">
        <v>3845</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3885</v>
      </c>
      <c r="H204" s="632" t="s">
        <v>537</v>
      </c>
      <c r="I204" s="638"/>
      <c r="J204" s="634" t="s">
        <v>3846</v>
      </c>
      <c r="K204" s="635"/>
      <c r="L204" s="626"/>
      <c r="M204" s="627"/>
      <c r="N204" s="636" t="s">
        <v>3847</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3848</v>
      </c>
      <c r="K205" s="635"/>
      <c r="L205" s="626"/>
      <c r="M205" s="627"/>
      <c r="N205" s="636" t="s">
        <v>3849</v>
      </c>
      <c r="O205" s="636" t="s">
        <v>3758</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3850</v>
      </c>
      <c r="K206" s="635"/>
      <c r="L206" s="626"/>
      <c r="M206" s="627"/>
      <c r="N206" s="636" t="s">
        <v>3851</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3852</v>
      </c>
      <c r="K207" s="635"/>
      <c r="L207" s="626"/>
      <c r="M207" s="627"/>
      <c r="N207" s="636" t="s">
        <v>3854</v>
      </c>
      <c r="O207" s="636" t="s">
        <v>3902</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3853</v>
      </c>
      <c r="K208" s="635"/>
      <c r="L208" s="626"/>
      <c r="M208" s="627"/>
      <c r="N208" s="636" t="s">
        <v>3856</v>
      </c>
      <c r="O208" s="636" t="s">
        <v>2986</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3855</v>
      </c>
      <c r="K209" s="635"/>
      <c r="L209" s="626"/>
      <c r="M209" s="627"/>
      <c r="N209" s="636" t="s">
        <v>222</v>
      </c>
      <c r="O209" s="636" t="s">
        <v>221</v>
      </c>
      <c r="P209" s="1588"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3885</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3133</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3755</v>
      </c>
      <c r="D212" s="507" t="s">
        <v>1871</v>
      </c>
      <c r="E212" s="630" t="s">
        <v>3756</v>
      </c>
      <c r="F212" s="630"/>
      <c r="G212" s="631" t="s">
        <v>956</v>
      </c>
      <c r="H212" s="632" t="s">
        <v>536</v>
      </c>
      <c r="I212" s="633"/>
      <c r="J212" s="634" t="s">
        <v>1356</v>
      </c>
      <c r="K212" s="639"/>
      <c r="L212" s="626"/>
      <c r="M212" s="627"/>
      <c r="N212" s="636" t="s">
        <v>3165</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3757</v>
      </c>
      <c r="D213" s="507" t="s">
        <v>2035</v>
      </c>
      <c r="E213" s="637" t="s">
        <v>1338</v>
      </c>
      <c r="F213" s="637"/>
      <c r="G213" s="631" t="s">
        <v>3885</v>
      </c>
      <c r="H213" s="632" t="s">
        <v>537</v>
      </c>
      <c r="I213" s="638"/>
      <c r="J213" s="634" t="s">
        <v>1358</v>
      </c>
      <c r="K213" s="639"/>
      <c r="L213" s="626"/>
      <c r="M213" s="627"/>
      <c r="N213" s="636" t="s">
        <v>2030</v>
      </c>
      <c r="O213" s="636" t="s">
        <v>1739</v>
      </c>
      <c r="P213" s="1588" t="s">
        <v>1411</v>
      </c>
      <c r="Q213" s="611"/>
      <c r="S213" s="611"/>
      <c r="T213" s="611"/>
      <c r="U213" s="611"/>
      <c r="V213" s="611"/>
      <c r="W213" s="611"/>
      <c r="X213" s="611"/>
      <c r="Y213" s="611"/>
      <c r="Z213" s="611"/>
      <c r="AA213" s="611"/>
    </row>
    <row r="214" spans="1:27" ht="12" customHeight="1">
      <c r="A214" s="611"/>
      <c r="B214" s="507" t="s">
        <v>2048</v>
      </c>
      <c r="C214" s="507" t="s">
        <v>3758</v>
      </c>
      <c r="D214" s="507" t="s">
        <v>1871</v>
      </c>
      <c r="E214" s="630" t="s">
        <v>3759</v>
      </c>
      <c r="F214" s="630"/>
      <c r="G214" s="631" t="s">
        <v>957</v>
      </c>
      <c r="H214" s="632" t="s">
        <v>536</v>
      </c>
      <c r="I214" s="633"/>
      <c r="J214" s="634" t="s">
        <v>3166</v>
      </c>
      <c r="K214" s="639"/>
      <c r="L214" s="626"/>
      <c r="M214" s="627"/>
      <c r="N214" s="636" t="s">
        <v>3168</v>
      </c>
      <c r="O214" s="636" t="s">
        <v>3760</v>
      </c>
      <c r="P214" s="507" t="s">
        <v>2406</v>
      </c>
      <c r="Q214" s="631"/>
      <c r="S214" s="611"/>
      <c r="T214" s="611"/>
      <c r="U214" s="611"/>
      <c r="V214" s="611"/>
      <c r="W214" s="611"/>
      <c r="X214" s="611"/>
      <c r="Y214" s="611"/>
      <c r="Z214" s="611"/>
      <c r="AA214" s="611"/>
    </row>
    <row r="215" spans="1:27" ht="12" customHeight="1">
      <c r="A215" s="611"/>
      <c r="B215" s="507" t="s">
        <v>2049</v>
      </c>
      <c r="C215" s="507" t="s">
        <v>3760</v>
      </c>
      <c r="D215" s="507" t="s">
        <v>2011</v>
      </c>
      <c r="E215" s="637" t="s">
        <v>1338</v>
      </c>
      <c r="F215" s="637"/>
      <c r="G215" s="631" t="s">
        <v>3885</v>
      </c>
      <c r="H215" s="632" t="s">
        <v>537</v>
      </c>
      <c r="I215" s="638"/>
      <c r="J215" s="634" t="s">
        <v>3167</v>
      </c>
      <c r="K215" s="639"/>
      <c r="L215" s="626"/>
      <c r="M215" s="627"/>
      <c r="N215" s="636" t="s">
        <v>3075</v>
      </c>
      <c r="O215" s="636" t="s">
        <v>3279</v>
      </c>
      <c r="P215" s="507" t="s">
        <v>2407</v>
      </c>
      <c r="Q215" s="631"/>
      <c r="S215" s="611"/>
      <c r="T215" s="611"/>
      <c r="U215" s="611"/>
      <c r="V215" s="611"/>
      <c r="W215" s="611"/>
      <c r="X215" s="611"/>
      <c r="Y215" s="611"/>
      <c r="Z215" s="611"/>
      <c r="AA215" s="611"/>
    </row>
    <row r="216" spans="1:27" ht="12" customHeight="1">
      <c r="A216" s="611"/>
      <c r="B216" s="507" t="s">
        <v>2050</v>
      </c>
      <c r="C216" s="507" t="s">
        <v>3761</v>
      </c>
      <c r="D216" s="507" t="s">
        <v>1871</v>
      </c>
      <c r="E216" s="630" t="s">
        <v>3762</v>
      </c>
      <c r="F216" s="630"/>
      <c r="G216" s="631" t="s">
        <v>958</v>
      </c>
      <c r="H216" s="632" t="s">
        <v>536</v>
      </c>
      <c r="I216" s="633"/>
      <c r="J216" s="634" t="s">
        <v>3169</v>
      </c>
      <c r="K216" s="639"/>
      <c r="L216" s="626"/>
      <c r="M216" s="627"/>
      <c r="N216" s="636" t="s">
        <v>3170</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3763</v>
      </c>
      <c r="D217" s="507" t="s">
        <v>1871</v>
      </c>
      <c r="E217" s="630" t="s">
        <v>3814</v>
      </c>
      <c r="F217" s="630"/>
      <c r="G217" s="631" t="s">
        <v>959</v>
      </c>
      <c r="H217" s="632" t="s">
        <v>536</v>
      </c>
      <c r="I217" s="633"/>
      <c r="J217" s="634" t="s">
        <v>3201</v>
      </c>
      <c r="K217" s="639"/>
      <c r="L217" s="626"/>
      <c r="M217" s="627"/>
      <c r="N217" s="636" t="s">
        <v>3202</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3815</v>
      </c>
      <c r="D218" s="507" t="s">
        <v>2035</v>
      </c>
      <c r="E218" s="637" t="s">
        <v>1339</v>
      </c>
      <c r="F218" s="637"/>
      <c r="G218" s="631" t="s">
        <v>3910</v>
      </c>
      <c r="H218" s="632" t="s">
        <v>537</v>
      </c>
      <c r="I218" s="638"/>
      <c r="J218" s="634" t="s">
        <v>3203</v>
      </c>
      <c r="K218" s="639"/>
      <c r="L218" s="626"/>
      <c r="M218" s="627"/>
      <c r="N218" s="636" t="s">
        <v>3204</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3816</v>
      </c>
      <c r="D219" s="507" t="s">
        <v>1871</v>
      </c>
      <c r="E219" s="630" t="s">
        <v>3817</v>
      </c>
      <c r="F219" s="630"/>
      <c r="G219" s="631" t="s">
        <v>960</v>
      </c>
      <c r="H219" s="632" t="s">
        <v>536</v>
      </c>
      <c r="I219" s="633"/>
      <c r="J219" s="634" t="s">
        <v>3205</v>
      </c>
      <c r="K219" s="639"/>
      <c r="L219" s="626"/>
      <c r="M219" s="627"/>
      <c r="N219" s="636" t="s">
        <v>3206</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3818</v>
      </c>
      <c r="D220" s="507" t="s">
        <v>2035</v>
      </c>
      <c r="E220" s="637" t="s">
        <v>1338</v>
      </c>
      <c r="F220" s="637"/>
      <c r="G220" s="631" t="s">
        <v>3885</v>
      </c>
      <c r="H220" s="632" t="s">
        <v>537</v>
      </c>
      <c r="I220" s="638"/>
      <c r="J220" s="634" t="s">
        <v>3207</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3819</v>
      </c>
      <c r="D221" s="507" t="s">
        <v>2035</v>
      </c>
      <c r="E221" s="637" t="s">
        <v>2020</v>
      </c>
      <c r="F221" s="637"/>
      <c r="G221" s="631" t="s">
        <v>3888</v>
      </c>
      <c r="H221" s="632" t="s">
        <v>537</v>
      </c>
      <c r="I221" s="638"/>
      <c r="J221" s="634" t="s">
        <v>3836</v>
      </c>
      <c r="K221" s="639"/>
      <c r="L221" s="626"/>
      <c r="M221" s="627"/>
      <c r="N221" s="636" t="s">
        <v>3837</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3820</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3080</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3885</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3361</v>
      </c>
      <c r="K225" s="639"/>
      <c r="L225" s="626"/>
      <c r="M225" s="627"/>
      <c r="N225" s="636" t="s">
        <v>3362</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3885</v>
      </c>
      <c r="H226" s="632" t="s">
        <v>537</v>
      </c>
      <c r="I226" s="638"/>
      <c r="J226" s="634" t="s">
        <v>3363</v>
      </c>
      <c r="K226" s="639"/>
      <c r="L226" s="626"/>
      <c r="M226" s="627"/>
      <c r="N226" s="636" t="s">
        <v>3364</v>
      </c>
      <c r="O226" s="636" t="s">
        <v>3371</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3033</v>
      </c>
      <c r="H227" s="632" t="s">
        <v>536</v>
      </c>
      <c r="I227" s="633"/>
      <c r="J227" s="634" t="s">
        <v>3365</v>
      </c>
      <c r="K227" s="639"/>
      <c r="L227" s="626"/>
      <c r="M227" s="627"/>
      <c r="N227" s="507" t="s">
        <v>3864</v>
      </c>
      <c r="O227" s="507" t="s">
        <v>963</v>
      </c>
      <c r="P227" s="1589" t="s">
        <v>3240</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3034</v>
      </c>
      <c r="H228" s="632" t="s">
        <v>536</v>
      </c>
      <c r="I228" s="633"/>
      <c r="J228" s="634" t="s">
        <v>3399</v>
      </c>
      <c r="K228" s="639"/>
      <c r="L228" s="626"/>
      <c r="M228" s="627"/>
      <c r="N228" s="636" t="s">
        <v>3366</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3763</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3885</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3035</v>
      </c>
      <c r="H231" s="632" t="s">
        <v>536</v>
      </c>
      <c r="I231" s="633"/>
      <c r="J231" s="634" t="s">
        <v>3261</v>
      </c>
      <c r="K231" s="639"/>
      <c r="L231" s="626"/>
      <c r="M231" s="627"/>
      <c r="N231" s="636" t="s">
        <v>2804</v>
      </c>
      <c r="O231" s="636" t="s">
        <v>3086</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3891</v>
      </c>
      <c r="H232" s="632" t="s">
        <v>537</v>
      </c>
      <c r="I232" s="633"/>
      <c r="J232" s="634" t="s">
        <v>3262</v>
      </c>
      <c r="K232" s="639"/>
      <c r="L232" s="626"/>
      <c r="M232" s="627"/>
      <c r="N232" s="636" t="s">
        <v>1412</v>
      </c>
      <c r="O232" s="636" t="s">
        <v>3899</v>
      </c>
      <c r="P232" s="1588"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3689</v>
      </c>
      <c r="K233" s="635"/>
      <c r="L233" s="626"/>
      <c r="M233" s="627"/>
      <c r="N233" s="636" t="s">
        <v>3263</v>
      </c>
      <c r="O233" s="636" t="s">
        <v>3901</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3691</v>
      </c>
      <c r="K234" s="635"/>
      <c r="L234" s="626"/>
      <c r="M234" s="627"/>
      <c r="N234" s="636" t="s">
        <v>3690</v>
      </c>
      <c r="O234" s="636" t="s">
        <v>1724</v>
      </c>
      <c r="P234" s="507" t="s">
        <v>2424</v>
      </c>
      <c r="Q234" s="631"/>
      <c r="S234" s="611"/>
      <c r="T234" s="611"/>
      <c r="U234" s="611"/>
      <c r="V234" s="611"/>
      <c r="W234" s="611"/>
      <c r="X234" s="611"/>
      <c r="Y234" s="611"/>
      <c r="Z234" s="611"/>
      <c r="AA234" s="611"/>
    </row>
    <row r="235" spans="1:27" ht="12" customHeight="1">
      <c r="A235" s="611"/>
      <c r="B235" s="640"/>
      <c r="C235" s="507" t="s">
        <v>3369</v>
      </c>
      <c r="D235" s="507" t="s">
        <v>1871</v>
      </c>
      <c r="E235" s="630" t="s">
        <v>3370</v>
      </c>
      <c r="F235" s="630"/>
      <c r="G235" s="631" t="s">
        <v>2037</v>
      </c>
      <c r="H235" s="632" t="s">
        <v>536</v>
      </c>
      <c r="I235" s="633"/>
      <c r="J235" s="634" t="s">
        <v>3693</v>
      </c>
      <c r="K235" s="635"/>
      <c r="L235" s="626"/>
      <c r="M235" s="627"/>
      <c r="N235" s="507" t="s">
        <v>3865</v>
      </c>
      <c r="O235" s="507" t="s">
        <v>414</v>
      </c>
      <c r="P235" s="1589" t="s">
        <v>3240</v>
      </c>
      <c r="Q235" s="631"/>
      <c r="S235" s="611"/>
      <c r="T235" s="611"/>
      <c r="U235" s="611"/>
      <c r="V235" s="611"/>
      <c r="W235" s="611"/>
      <c r="X235" s="611"/>
      <c r="Y235" s="611"/>
      <c r="Z235" s="611"/>
      <c r="AA235" s="611"/>
    </row>
    <row r="236" spans="1:27" ht="12" customHeight="1">
      <c r="A236" s="611"/>
      <c r="B236" s="640"/>
      <c r="C236" s="507" t="s">
        <v>3371</v>
      </c>
      <c r="D236" s="507" t="s">
        <v>1871</v>
      </c>
      <c r="E236" s="630" t="s">
        <v>997</v>
      </c>
      <c r="F236" s="630"/>
      <c r="G236" s="631" t="s">
        <v>2038</v>
      </c>
      <c r="H236" s="632" t="s">
        <v>536</v>
      </c>
      <c r="I236" s="633"/>
      <c r="J236" s="634" t="s">
        <v>3695</v>
      </c>
      <c r="K236" s="635"/>
      <c r="L236" s="626"/>
      <c r="M236" s="627"/>
      <c r="N236" s="636" t="s">
        <v>3692</v>
      </c>
      <c r="O236" s="636" t="s">
        <v>2989</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3696</v>
      </c>
      <c r="K237" s="635"/>
      <c r="L237" s="626"/>
      <c r="M237" s="627"/>
      <c r="N237" s="636" t="s">
        <v>3694</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3885</v>
      </c>
      <c r="H238" s="632" t="s">
        <v>537</v>
      </c>
      <c r="I238" s="638"/>
      <c r="J238" s="634" t="s">
        <v>3353</v>
      </c>
      <c r="K238" s="635"/>
      <c r="L238" s="626"/>
      <c r="M238" s="627"/>
      <c r="N238" s="636" t="s">
        <v>3697</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3398</v>
      </c>
      <c r="F239" s="637"/>
      <c r="G239" s="631" t="s">
        <v>2040</v>
      </c>
      <c r="H239" s="632" t="s">
        <v>537</v>
      </c>
      <c r="I239" s="638"/>
      <c r="J239" s="634" t="s">
        <v>1064</v>
      </c>
      <c r="K239" s="635"/>
      <c r="L239" s="626"/>
      <c r="M239" s="627"/>
      <c r="N239" s="636" t="s">
        <v>3354</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3885</v>
      </c>
      <c r="H240" s="632" t="s">
        <v>537</v>
      </c>
      <c r="I240" s="638"/>
      <c r="J240" s="634" t="s">
        <v>1066</v>
      </c>
      <c r="K240" s="635"/>
      <c r="L240" s="626"/>
      <c r="M240" s="627"/>
      <c r="N240" s="636" t="s">
        <v>1065</v>
      </c>
      <c r="O240" s="636" t="s">
        <v>3755</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3885</v>
      </c>
      <c r="H242" s="632" t="s">
        <v>537</v>
      </c>
      <c r="I242" s="638"/>
      <c r="J242" s="634" t="s">
        <v>1070</v>
      </c>
      <c r="K242" s="635"/>
      <c r="L242" s="626"/>
      <c r="M242" s="627"/>
      <c r="N242" s="636" t="s">
        <v>1069</v>
      </c>
      <c r="O242" s="636" t="s">
        <v>3901</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3344</v>
      </c>
      <c r="K243" s="635"/>
      <c r="L243" s="626"/>
      <c r="M243" s="627"/>
      <c r="N243" s="507" t="s">
        <v>3866</v>
      </c>
      <c r="O243" s="507" t="s">
        <v>3757</v>
      </c>
      <c r="P243" s="1589" t="s">
        <v>3240</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3345</v>
      </c>
      <c r="K244" s="635"/>
      <c r="L244" s="626"/>
      <c r="M244" s="627"/>
      <c r="N244" s="636" t="s">
        <v>3346</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3890</v>
      </c>
      <c r="H245" s="632" t="s">
        <v>537</v>
      </c>
      <c r="I245" s="633"/>
      <c r="J245" s="634" t="s">
        <v>3347</v>
      </c>
      <c r="K245" s="635"/>
      <c r="L245" s="626"/>
      <c r="M245" s="627"/>
      <c r="N245" s="636" t="s">
        <v>3348</v>
      </c>
      <c r="O245" s="636" t="s">
        <v>3895</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3400</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3401</v>
      </c>
      <c r="K248" s="635"/>
      <c r="L248" s="626"/>
      <c r="M248" s="627"/>
      <c r="N248" s="636" t="s">
        <v>3476</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3885</v>
      </c>
      <c r="H249" s="632" t="s">
        <v>537</v>
      </c>
      <c r="I249" s="638"/>
      <c r="J249" s="634" t="s">
        <v>3439</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3903</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3578</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3577</v>
      </c>
      <c r="K253" s="635"/>
      <c r="L253" s="626"/>
      <c r="M253" s="627"/>
      <c r="N253" s="636" t="s">
        <v>3626</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3625</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3627</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3885</v>
      </c>
      <c r="H256" s="632" t="s">
        <v>537</v>
      </c>
      <c r="I256" s="638"/>
      <c r="J256" s="634" t="s">
        <v>3628</v>
      </c>
      <c r="K256" s="635"/>
      <c r="L256" s="626"/>
      <c r="M256" s="627"/>
      <c r="N256" s="636" t="s">
        <v>3566</v>
      </c>
      <c r="O256" s="636" t="s">
        <v>3761</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3885</v>
      </c>
      <c r="H257" s="632" t="s">
        <v>537</v>
      </c>
      <c r="I257" s="638"/>
      <c r="J257" s="634" t="s">
        <v>3565</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3895</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3885</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3291</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3888</v>
      </c>
      <c r="H266" s="632" t="s">
        <v>537</v>
      </c>
      <c r="I266" s="638"/>
      <c r="J266" s="634" t="s">
        <v>3427</v>
      </c>
      <c r="K266" s="635"/>
      <c r="L266" s="626"/>
      <c r="M266" s="627"/>
      <c r="N266" s="636" t="s">
        <v>3428</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3429</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3891</v>
      </c>
      <c r="H268" s="632" t="s">
        <v>537</v>
      </c>
      <c r="I268" s="633"/>
      <c r="J268" s="634" t="s">
        <v>3430</v>
      </c>
      <c r="K268" s="635"/>
      <c r="L268" s="626"/>
      <c r="M268" s="627"/>
      <c r="N268" s="636" t="s">
        <v>3432</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3431</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3809</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3891</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3133</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3816</v>
      </c>
      <c r="P278" s="507" t="s">
        <v>2466</v>
      </c>
      <c r="Q278" s="631"/>
      <c r="S278" s="611"/>
      <c r="T278" s="611"/>
      <c r="U278" s="611"/>
      <c r="V278" s="611"/>
      <c r="W278" s="611"/>
      <c r="X278" s="611"/>
      <c r="Y278" s="611"/>
      <c r="Z278" s="611"/>
      <c r="AA278" s="611"/>
    </row>
    <row r="279" spans="1:27" ht="12" customHeight="1">
      <c r="A279" s="611"/>
      <c r="B279" s="640"/>
      <c r="C279" s="507" t="s">
        <v>2936</v>
      </c>
      <c r="D279" s="507" t="s">
        <v>2035</v>
      </c>
      <c r="E279" s="637" t="s">
        <v>1339</v>
      </c>
      <c r="F279" s="637"/>
      <c r="G279" s="631" t="s">
        <v>3910</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2937</v>
      </c>
      <c r="D280" s="507" t="s">
        <v>1871</v>
      </c>
      <c r="E280" s="630" t="s">
        <v>13</v>
      </c>
      <c r="F280" s="630"/>
      <c r="G280" s="631" t="s">
        <v>3890</v>
      </c>
      <c r="H280" s="632" t="s">
        <v>537</v>
      </c>
      <c r="I280" s="633"/>
      <c r="J280" s="634" t="s">
        <v>302</v>
      </c>
      <c r="K280" s="635"/>
      <c r="L280" s="626"/>
      <c r="M280" s="627"/>
      <c r="N280" s="636" t="s">
        <v>3154</v>
      </c>
      <c r="O280" s="636" t="s">
        <v>415</v>
      </c>
      <c r="P280" s="507" t="s">
        <v>2468</v>
      </c>
      <c r="Q280" s="631"/>
      <c r="S280" s="611"/>
      <c r="T280" s="611"/>
      <c r="U280" s="611"/>
      <c r="V280" s="611"/>
      <c r="W280" s="611"/>
      <c r="X280" s="611"/>
      <c r="Y280" s="611"/>
      <c r="Z280" s="611"/>
      <c r="AA280" s="611"/>
    </row>
    <row r="281" spans="1:27" ht="12" customHeight="1">
      <c r="A281" s="611"/>
      <c r="B281" s="640"/>
      <c r="C281" s="507" t="s">
        <v>2938</v>
      </c>
      <c r="D281" s="507" t="s">
        <v>2035</v>
      </c>
      <c r="E281" s="637" t="s">
        <v>1343</v>
      </c>
      <c r="F281" s="637"/>
      <c r="G281" s="631" t="s">
        <v>1050</v>
      </c>
      <c r="H281" s="632" t="s">
        <v>537</v>
      </c>
      <c r="I281" s="638"/>
      <c r="J281" s="634" t="s">
        <v>304</v>
      </c>
      <c r="K281" s="635"/>
      <c r="L281" s="626"/>
      <c r="M281" s="627"/>
      <c r="N281" s="636" t="s">
        <v>3156</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3158</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3153</v>
      </c>
      <c r="K283" s="635"/>
      <c r="L283" s="626"/>
      <c r="M283" s="627"/>
      <c r="N283" s="636" t="s">
        <v>3160</v>
      </c>
      <c r="O283" s="636" t="s">
        <v>3897</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3132</v>
      </c>
      <c r="F284" s="637"/>
      <c r="G284" s="631" t="s">
        <v>1053</v>
      </c>
      <c r="H284" s="632" t="s">
        <v>537</v>
      </c>
      <c r="I284" s="638"/>
      <c r="J284" s="634" t="s">
        <v>3155</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3157</v>
      </c>
      <c r="K285" s="635"/>
      <c r="L285" s="626"/>
      <c r="M285" s="627"/>
      <c r="N285" s="507" t="s">
        <v>3868</v>
      </c>
      <c r="O285" s="507" t="s">
        <v>3085</v>
      </c>
      <c r="P285" s="1589" t="s">
        <v>3240</v>
      </c>
      <c r="Q285" s="631"/>
      <c r="S285" s="611"/>
      <c r="T285" s="611"/>
      <c r="U285" s="611"/>
      <c r="V285" s="611"/>
      <c r="W285" s="611"/>
      <c r="X285" s="611"/>
      <c r="Y285" s="611"/>
      <c r="Z285" s="611"/>
      <c r="AA285" s="611"/>
    </row>
    <row r="286" spans="1:27" ht="12" customHeight="1">
      <c r="A286" s="611"/>
      <c r="B286" s="640"/>
      <c r="C286" s="507" t="s">
        <v>3895</v>
      </c>
      <c r="D286" s="507" t="s">
        <v>2035</v>
      </c>
      <c r="E286" s="637" t="s">
        <v>3896</v>
      </c>
      <c r="F286" s="637"/>
      <c r="G286" s="631" t="s">
        <v>1055</v>
      </c>
      <c r="H286" s="632" t="s">
        <v>536</v>
      </c>
      <c r="I286" s="638"/>
      <c r="J286" s="634" t="s">
        <v>3159</v>
      </c>
      <c r="K286" s="635"/>
      <c r="L286" s="626"/>
      <c r="M286" s="627"/>
      <c r="N286" s="636" t="s">
        <v>3162</v>
      </c>
      <c r="O286" s="636" t="s">
        <v>257</v>
      </c>
      <c r="P286" s="507" t="s">
        <v>2473</v>
      </c>
      <c r="Q286" s="631"/>
      <c r="S286" s="611"/>
      <c r="T286" s="611"/>
      <c r="U286" s="611"/>
      <c r="V286" s="611"/>
      <c r="W286" s="611"/>
      <c r="X286" s="611"/>
      <c r="Y286" s="611"/>
      <c r="Z286" s="611"/>
      <c r="AA286" s="611"/>
    </row>
    <row r="287" spans="1:27" ht="12" customHeight="1">
      <c r="A287" s="611"/>
      <c r="B287" s="640"/>
      <c r="C287" s="507" t="s">
        <v>3897</v>
      </c>
      <c r="D287" s="507" t="s">
        <v>2011</v>
      </c>
      <c r="E287" s="630" t="s">
        <v>3898</v>
      </c>
      <c r="F287" s="630"/>
      <c r="G287" s="631" t="s">
        <v>3026</v>
      </c>
      <c r="H287" s="632" t="s">
        <v>537</v>
      </c>
      <c r="I287" s="633"/>
      <c r="J287" s="634" t="s">
        <v>3161</v>
      </c>
      <c r="K287" s="635"/>
      <c r="L287" s="626"/>
      <c r="M287" s="627"/>
      <c r="N287" s="636" t="s">
        <v>3164</v>
      </c>
      <c r="O287" s="636" t="s">
        <v>257</v>
      </c>
      <c r="P287" s="507" t="s">
        <v>2474</v>
      </c>
      <c r="Q287" s="631"/>
      <c r="S287" s="611"/>
      <c r="T287" s="611"/>
      <c r="U287" s="611"/>
      <c r="V287" s="611"/>
      <c r="W287" s="611"/>
      <c r="X287" s="611"/>
      <c r="Y287" s="611"/>
      <c r="Z287" s="611"/>
      <c r="AA287" s="611"/>
    </row>
    <row r="288" spans="1:27" ht="12" customHeight="1">
      <c r="A288" s="611"/>
      <c r="B288" s="640"/>
      <c r="C288" s="507" t="s">
        <v>3899</v>
      </c>
      <c r="D288" s="507" t="s">
        <v>2035</v>
      </c>
      <c r="E288" s="637" t="s">
        <v>217</v>
      </c>
      <c r="F288" s="637"/>
      <c r="G288" s="631" t="s">
        <v>2698</v>
      </c>
      <c r="H288" s="632" t="s">
        <v>537</v>
      </c>
      <c r="I288" s="638"/>
      <c r="J288" s="634" t="s">
        <v>3163</v>
      </c>
      <c r="K288" s="635"/>
      <c r="L288" s="626"/>
      <c r="M288" s="627"/>
      <c r="N288" s="636" t="s">
        <v>1020</v>
      </c>
      <c r="O288" s="636" t="s">
        <v>3085</v>
      </c>
      <c r="P288" s="507" t="s">
        <v>2475</v>
      </c>
      <c r="Q288" s="631"/>
      <c r="S288" s="611"/>
      <c r="T288" s="611"/>
      <c r="U288" s="611"/>
      <c r="V288" s="611"/>
      <c r="W288" s="611"/>
      <c r="X288" s="611"/>
      <c r="Y288" s="611"/>
      <c r="Z288" s="611"/>
      <c r="AA288" s="611"/>
    </row>
    <row r="289" spans="1:27" ht="12" customHeight="1">
      <c r="A289" s="611"/>
      <c r="B289" s="640"/>
      <c r="C289" s="507" t="s">
        <v>3900</v>
      </c>
      <c r="D289" s="507" t="s">
        <v>2035</v>
      </c>
      <c r="E289" s="637" t="s">
        <v>1338</v>
      </c>
      <c r="F289" s="637"/>
      <c r="G289" s="631" t="s">
        <v>3885</v>
      </c>
      <c r="H289" s="632" t="s">
        <v>537</v>
      </c>
      <c r="I289" s="638"/>
      <c r="J289" s="634" t="s">
        <v>1019</v>
      </c>
      <c r="K289" s="635"/>
      <c r="L289" s="626"/>
      <c r="M289" s="627"/>
      <c r="N289" s="636" t="s">
        <v>3475</v>
      </c>
      <c r="O289" s="636" t="s">
        <v>137</v>
      </c>
      <c r="P289" s="507" t="s">
        <v>2476</v>
      </c>
      <c r="Q289" s="631"/>
      <c r="S289" s="611"/>
      <c r="T289" s="611"/>
      <c r="U289" s="611"/>
      <c r="V289" s="611"/>
      <c r="W289" s="611"/>
      <c r="X289" s="611"/>
      <c r="Y289" s="611"/>
      <c r="Z289" s="611"/>
      <c r="AA289" s="611"/>
    </row>
    <row r="290" spans="1:27" ht="12" customHeight="1">
      <c r="A290" s="611"/>
      <c r="B290" s="640"/>
      <c r="C290" s="507" t="s">
        <v>3901</v>
      </c>
      <c r="D290" s="507" t="s">
        <v>2035</v>
      </c>
      <c r="E290" s="630" t="s">
        <v>3133</v>
      </c>
      <c r="F290" s="630"/>
      <c r="G290" s="631" t="s">
        <v>955</v>
      </c>
      <c r="H290" s="632" t="s">
        <v>537</v>
      </c>
      <c r="I290" s="633"/>
      <c r="J290" s="634" t="s">
        <v>3473</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3902</v>
      </c>
      <c r="D291" s="507" t="s">
        <v>2035</v>
      </c>
      <c r="E291" s="630" t="s">
        <v>3133</v>
      </c>
      <c r="F291" s="630"/>
      <c r="G291" s="631" t="s">
        <v>955</v>
      </c>
      <c r="H291" s="632" t="s">
        <v>537</v>
      </c>
      <c r="I291" s="633"/>
      <c r="J291" s="634" t="s">
        <v>3474</v>
      </c>
      <c r="K291" s="635"/>
      <c r="L291" s="626"/>
      <c r="M291" s="627"/>
      <c r="N291" s="636" t="s">
        <v>1926</v>
      </c>
      <c r="O291" s="636" t="s">
        <v>3371</v>
      </c>
      <c r="P291" s="507" t="s">
        <v>2478</v>
      </c>
      <c r="Q291" s="631"/>
      <c r="S291" s="611"/>
      <c r="T291" s="611"/>
      <c r="U291" s="611"/>
      <c r="V291" s="611"/>
      <c r="W291" s="611"/>
      <c r="X291" s="611"/>
      <c r="Y291" s="611"/>
      <c r="Z291" s="611"/>
      <c r="AA291" s="611"/>
    </row>
    <row r="292" spans="1:27" ht="12" customHeight="1">
      <c r="A292" s="611"/>
      <c r="B292" s="640"/>
      <c r="C292" s="507" t="s">
        <v>3903</v>
      </c>
      <c r="D292" s="507" t="s">
        <v>2011</v>
      </c>
      <c r="E292" s="637" t="s">
        <v>1338</v>
      </c>
      <c r="F292" s="637"/>
      <c r="G292" s="631" t="s">
        <v>3885</v>
      </c>
      <c r="H292" s="632" t="s">
        <v>537</v>
      </c>
      <c r="I292" s="638"/>
      <c r="J292" s="634" t="s">
        <v>1923</v>
      </c>
      <c r="K292" s="635"/>
      <c r="L292" s="626"/>
      <c r="M292" s="627"/>
      <c r="N292" s="636" t="s">
        <v>3757</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3027</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3885</v>
      </c>
      <c r="H294" s="632" t="s">
        <v>537</v>
      </c>
      <c r="I294" s="638"/>
      <c r="J294" s="634" t="s">
        <v>1927</v>
      </c>
      <c r="K294" s="635"/>
      <c r="L294" s="626"/>
      <c r="M294" s="627"/>
      <c r="N294" s="636" t="s">
        <v>3771</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3028</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3885</v>
      </c>
      <c r="H296" s="632" t="s">
        <v>537</v>
      </c>
      <c r="I296" s="638"/>
      <c r="J296" s="634" t="s">
        <v>1930</v>
      </c>
      <c r="K296" s="635"/>
      <c r="L296" s="626"/>
      <c r="M296" s="627"/>
      <c r="N296" s="636" t="s">
        <v>95</v>
      </c>
      <c r="O296" s="636" t="s">
        <v>3289</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3029</v>
      </c>
      <c r="H297" s="632" t="s">
        <v>536</v>
      </c>
      <c r="I297" s="633"/>
      <c r="J297" s="634" t="s">
        <v>3772</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3030</v>
      </c>
      <c r="H298" s="632" t="s">
        <v>536</v>
      </c>
      <c r="I298" s="638"/>
      <c r="J298" s="634" t="s">
        <v>92</v>
      </c>
      <c r="K298" s="635"/>
      <c r="L298" s="626"/>
      <c r="M298" s="627"/>
      <c r="N298" s="636" t="s">
        <v>1888</v>
      </c>
      <c r="O298" s="636" t="s">
        <v>3024</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3031</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2813</v>
      </c>
      <c r="H300" s="632" t="s">
        <v>536</v>
      </c>
      <c r="I300" s="633"/>
      <c r="J300" s="634" t="s">
        <v>94</v>
      </c>
      <c r="K300" s="635"/>
      <c r="L300" s="626"/>
      <c r="M300" s="627"/>
      <c r="N300" s="636" t="s">
        <v>1892</v>
      </c>
      <c r="O300" s="636" t="s">
        <v>1737</v>
      </c>
      <c r="P300" s="1588"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2814</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2815</v>
      </c>
      <c r="H302" s="632" t="s">
        <v>536</v>
      </c>
      <c r="I302" s="633"/>
      <c r="J302" s="634" t="s">
        <v>1887</v>
      </c>
      <c r="K302" s="635"/>
      <c r="L302" s="626"/>
      <c r="M302" s="627"/>
      <c r="N302" s="636" t="s">
        <v>1896</v>
      </c>
      <c r="O302" s="636" t="s">
        <v>3289</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3910</v>
      </c>
      <c r="H303" s="632" t="s">
        <v>537</v>
      </c>
      <c r="I303" s="638"/>
      <c r="J303" s="634" t="s">
        <v>1889</v>
      </c>
      <c r="K303" s="635"/>
      <c r="L303" s="626"/>
      <c r="M303" s="627"/>
      <c r="N303" s="636" t="s">
        <v>3763</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3885</v>
      </c>
      <c r="H304" s="632" t="s">
        <v>537</v>
      </c>
      <c r="I304" s="638"/>
      <c r="J304" s="634" t="s">
        <v>1891</v>
      </c>
      <c r="K304" s="635"/>
      <c r="L304" s="626"/>
      <c r="M304" s="627"/>
      <c r="N304" s="636" t="s">
        <v>217</v>
      </c>
      <c r="O304" s="636" t="s">
        <v>3899</v>
      </c>
      <c r="P304" s="1588"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3273</v>
      </c>
      <c r="F305" s="630"/>
      <c r="G305" s="631" t="s">
        <v>2816</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3274</v>
      </c>
      <c r="D306" s="507" t="s">
        <v>1871</v>
      </c>
      <c r="E306" s="630" t="s">
        <v>3275</v>
      </c>
      <c r="F306" s="630"/>
      <c r="G306" s="631" t="s">
        <v>2817</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3276</v>
      </c>
      <c r="D308" s="507" t="s">
        <v>1871</v>
      </c>
      <c r="E308" s="637" t="s">
        <v>3277</v>
      </c>
      <c r="F308" s="637"/>
      <c r="G308" s="631" t="s">
        <v>670</v>
      </c>
      <c r="H308" s="632" t="s">
        <v>536</v>
      </c>
      <c r="I308" s="638"/>
      <c r="J308" s="634" t="s">
        <v>1483</v>
      </c>
      <c r="K308" s="635"/>
      <c r="L308" s="626"/>
      <c r="M308" s="627"/>
      <c r="N308" s="507" t="s">
        <v>3869</v>
      </c>
      <c r="O308" s="507" t="s">
        <v>3757</v>
      </c>
      <c r="P308" s="1589" t="s">
        <v>3240</v>
      </c>
      <c r="Q308" s="611"/>
      <c r="S308" s="611"/>
      <c r="T308" s="611"/>
      <c r="U308" s="611"/>
      <c r="V308" s="611"/>
      <c r="W308" s="611"/>
      <c r="X308" s="611"/>
      <c r="Y308" s="611"/>
      <c r="Z308" s="611"/>
      <c r="AA308" s="611"/>
    </row>
    <row r="309" spans="1:27" ht="12" customHeight="1">
      <c r="A309" s="611"/>
      <c r="B309" s="640"/>
      <c r="C309" s="507" t="s">
        <v>3278</v>
      </c>
      <c r="D309" s="507" t="s">
        <v>2035</v>
      </c>
      <c r="E309" s="637" t="s">
        <v>1338</v>
      </c>
      <c r="F309" s="637"/>
      <c r="G309" s="631" t="s">
        <v>3885</v>
      </c>
      <c r="H309" s="632" t="s">
        <v>537</v>
      </c>
      <c r="I309" s="638"/>
      <c r="J309" s="634" t="s">
        <v>1484</v>
      </c>
      <c r="K309" s="635"/>
      <c r="L309" s="626"/>
      <c r="M309" s="627"/>
      <c r="N309" s="636" t="s">
        <v>3239</v>
      </c>
      <c r="O309" s="636" t="s">
        <v>1740</v>
      </c>
      <c r="P309" s="507" t="s">
        <v>2493</v>
      </c>
      <c r="Q309" s="631"/>
      <c r="S309" s="611"/>
      <c r="T309" s="611"/>
      <c r="U309" s="611"/>
      <c r="V309" s="611"/>
      <c r="W309" s="611"/>
      <c r="X309" s="611"/>
      <c r="Y309" s="611"/>
      <c r="Z309" s="611"/>
      <c r="AA309" s="611"/>
    </row>
    <row r="310" spans="1:27" ht="12" customHeight="1">
      <c r="A310" s="611"/>
      <c r="B310" s="640"/>
      <c r="C310" s="507" t="s">
        <v>3279</v>
      </c>
      <c r="D310" s="507" t="s">
        <v>2011</v>
      </c>
      <c r="E310" s="637" t="s">
        <v>3280</v>
      </c>
      <c r="F310" s="637"/>
      <c r="G310" s="631" t="s">
        <v>284</v>
      </c>
      <c r="H310" s="632" t="s">
        <v>536</v>
      </c>
      <c r="I310" s="633"/>
      <c r="J310" s="634" t="s">
        <v>1486</v>
      </c>
      <c r="K310" s="635"/>
      <c r="L310" s="626"/>
      <c r="M310" s="627"/>
      <c r="N310" s="636" t="s">
        <v>3150</v>
      </c>
      <c r="O310" s="636" t="s">
        <v>2661</v>
      </c>
      <c r="P310" s="507" t="s">
        <v>2494</v>
      </c>
      <c r="Q310" s="631"/>
      <c r="S310" s="611"/>
      <c r="T310" s="611"/>
      <c r="U310" s="611"/>
      <c r="V310" s="611"/>
      <c r="W310" s="611"/>
      <c r="X310" s="611"/>
      <c r="Y310" s="611"/>
      <c r="Z310" s="611"/>
      <c r="AA310" s="611"/>
    </row>
    <row r="311" spans="1:27" ht="12" customHeight="1">
      <c r="A311" s="611"/>
      <c r="B311" s="640"/>
      <c r="C311" s="507" t="s">
        <v>3281</v>
      </c>
      <c r="D311" s="507" t="s">
        <v>1871</v>
      </c>
      <c r="E311" s="630" t="s">
        <v>3282</v>
      </c>
      <c r="F311" s="630"/>
      <c r="G311" s="631" t="s">
        <v>2133</v>
      </c>
      <c r="H311" s="632" t="s">
        <v>536</v>
      </c>
      <c r="I311" s="633"/>
      <c r="J311" s="634" t="s">
        <v>1488</v>
      </c>
      <c r="K311" s="635"/>
      <c r="L311" s="626"/>
      <c r="M311" s="627"/>
      <c r="N311" s="636" t="s">
        <v>3152</v>
      </c>
      <c r="O311" s="636" t="s">
        <v>3820</v>
      </c>
      <c r="P311" s="507" t="s">
        <v>2495</v>
      </c>
      <c r="Q311" s="631"/>
      <c r="S311" s="611"/>
      <c r="T311" s="611"/>
      <c r="U311" s="611"/>
      <c r="V311" s="611"/>
      <c r="W311" s="611"/>
      <c r="X311" s="611"/>
      <c r="Y311" s="611"/>
      <c r="Z311" s="611"/>
      <c r="AA311" s="611"/>
    </row>
    <row r="312" spans="1:27" ht="12" customHeight="1">
      <c r="A312" s="611"/>
      <c r="B312" s="640"/>
      <c r="C312" s="507" t="s">
        <v>3283</v>
      </c>
      <c r="D312" s="507" t="s">
        <v>1871</v>
      </c>
      <c r="E312" s="630" t="s">
        <v>3284</v>
      </c>
      <c r="F312" s="630"/>
      <c r="G312" s="631" t="s">
        <v>2134</v>
      </c>
      <c r="H312" s="632" t="s">
        <v>536</v>
      </c>
      <c r="I312" s="633"/>
      <c r="J312" s="634" t="s">
        <v>3237</v>
      </c>
      <c r="K312" s="635"/>
      <c r="L312" s="626"/>
      <c r="M312" s="627"/>
      <c r="N312" s="636" t="s">
        <v>1413</v>
      </c>
      <c r="O312" s="636" t="s">
        <v>413</v>
      </c>
      <c r="P312" s="1588" t="s">
        <v>1411</v>
      </c>
      <c r="Q312" s="611"/>
      <c r="S312" s="611"/>
      <c r="T312" s="611"/>
      <c r="U312" s="611"/>
      <c r="V312" s="611"/>
      <c r="W312" s="611"/>
      <c r="X312" s="611"/>
      <c r="Y312" s="611"/>
      <c r="Z312" s="611"/>
      <c r="AA312" s="611"/>
    </row>
    <row r="313" spans="1:27" ht="12" customHeight="1">
      <c r="A313" s="611"/>
      <c r="B313" s="640"/>
      <c r="C313" s="507" t="s">
        <v>3285</v>
      </c>
      <c r="D313" s="507" t="s">
        <v>2035</v>
      </c>
      <c r="E313" s="630" t="s">
        <v>3286</v>
      </c>
      <c r="F313" s="630"/>
      <c r="G313" s="631" t="s">
        <v>2135</v>
      </c>
      <c r="H313" s="632" t="s">
        <v>536</v>
      </c>
      <c r="I313" s="633"/>
      <c r="J313" s="634" t="s">
        <v>3238</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3287</v>
      </c>
      <c r="D314" s="507" t="s">
        <v>2035</v>
      </c>
      <c r="E314" s="630" t="s">
        <v>3288</v>
      </c>
      <c r="F314" s="630"/>
      <c r="G314" s="631" t="s">
        <v>3091</v>
      </c>
      <c r="H314" s="632" t="s">
        <v>536</v>
      </c>
      <c r="I314" s="633"/>
      <c r="J314" s="634" t="s">
        <v>3149</v>
      </c>
      <c r="K314" s="635"/>
      <c r="L314" s="626"/>
      <c r="M314" s="627"/>
      <c r="N314" s="507" t="s">
        <v>3870</v>
      </c>
      <c r="O314" s="507" t="s">
        <v>2027</v>
      </c>
      <c r="P314" s="1589" t="s">
        <v>3240</v>
      </c>
      <c r="Q314" s="631"/>
      <c r="S314" s="611"/>
      <c r="T314" s="611"/>
      <c r="U314" s="611"/>
      <c r="V314" s="611"/>
      <c r="W314" s="611"/>
      <c r="X314" s="611"/>
      <c r="Y314" s="611"/>
      <c r="Z314" s="611"/>
      <c r="AA314" s="611"/>
    </row>
    <row r="315" spans="1:27" ht="12" customHeight="1">
      <c r="A315" s="611"/>
      <c r="B315" s="640"/>
      <c r="C315" s="507" t="s">
        <v>3289</v>
      </c>
      <c r="D315" s="507" t="s">
        <v>1871</v>
      </c>
      <c r="E315" s="630" t="s">
        <v>3290</v>
      </c>
      <c r="F315" s="630"/>
      <c r="G315" s="631" t="s">
        <v>3092</v>
      </c>
      <c r="H315" s="632" t="s">
        <v>536</v>
      </c>
      <c r="I315" s="633"/>
      <c r="J315" s="634" t="s">
        <v>3151</v>
      </c>
      <c r="K315" s="635"/>
      <c r="L315" s="626"/>
      <c r="M315" s="627"/>
      <c r="N315" s="636" t="s">
        <v>933</v>
      </c>
      <c r="O315" s="636" t="s">
        <v>3900</v>
      </c>
      <c r="P315" s="507" t="s">
        <v>2497</v>
      </c>
      <c r="Q315" s="611"/>
      <c r="S315" s="611"/>
      <c r="T315" s="611"/>
      <c r="U315" s="611"/>
      <c r="V315" s="611"/>
      <c r="W315" s="611"/>
      <c r="X315" s="611"/>
      <c r="Y315" s="611"/>
      <c r="Z315" s="611"/>
      <c r="AA315" s="611"/>
    </row>
    <row r="316" spans="1:27" ht="12" customHeight="1">
      <c r="A316" s="611"/>
      <c r="B316" s="640"/>
      <c r="C316" s="507" t="s">
        <v>3291</v>
      </c>
      <c r="D316" s="507" t="s">
        <v>2035</v>
      </c>
      <c r="E316" s="630" t="s">
        <v>1460</v>
      </c>
      <c r="F316" s="630"/>
      <c r="G316" s="631" t="s">
        <v>3093</v>
      </c>
      <c r="H316" s="632" t="s">
        <v>536</v>
      </c>
      <c r="I316" s="633"/>
      <c r="J316" s="634" t="s">
        <v>929</v>
      </c>
      <c r="K316" s="635"/>
      <c r="L316" s="626"/>
      <c r="M316" s="627"/>
      <c r="N316" s="636" t="s">
        <v>3819</v>
      </c>
      <c r="O316" s="636" t="s">
        <v>3902</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3094</v>
      </c>
      <c r="H317" s="632" t="s">
        <v>536</v>
      </c>
      <c r="I317" s="638"/>
      <c r="J317" s="634" t="s">
        <v>930</v>
      </c>
      <c r="K317" s="635"/>
      <c r="L317" s="626"/>
      <c r="M317" s="627"/>
      <c r="N317" s="636" t="s">
        <v>937</v>
      </c>
      <c r="O317" s="636" t="s">
        <v>3287</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3095</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2977</v>
      </c>
      <c r="F320" s="637"/>
      <c r="G320" s="631" t="s">
        <v>1809</v>
      </c>
      <c r="H320" s="632" t="s">
        <v>536</v>
      </c>
      <c r="I320" s="638"/>
      <c r="J320" s="634" t="s">
        <v>935</v>
      </c>
      <c r="K320" s="635"/>
      <c r="L320" s="626"/>
      <c r="M320" s="627"/>
      <c r="N320" s="636" t="s">
        <v>842</v>
      </c>
      <c r="O320" s="636" t="s">
        <v>216</v>
      </c>
      <c r="P320" s="1588" t="s">
        <v>1411</v>
      </c>
      <c r="Q320" s="631"/>
      <c r="S320" s="611"/>
      <c r="T320" s="611"/>
      <c r="U320" s="611"/>
      <c r="V320" s="611"/>
      <c r="W320" s="611"/>
      <c r="X320" s="611"/>
      <c r="Y320" s="611"/>
      <c r="Z320" s="611"/>
      <c r="AA320" s="611"/>
    </row>
    <row r="321" spans="1:27" ht="12" customHeight="1">
      <c r="A321" s="611"/>
      <c r="B321" s="640"/>
      <c r="C321" s="507" t="s">
        <v>2978</v>
      </c>
      <c r="D321" s="507" t="s">
        <v>1871</v>
      </c>
      <c r="E321" s="637" t="s">
        <v>2979</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2980</v>
      </c>
      <c r="D322" s="507" t="s">
        <v>2011</v>
      </c>
      <c r="E322" s="637" t="s">
        <v>2981</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2982</v>
      </c>
      <c r="D323" s="507" t="s">
        <v>1871</v>
      </c>
      <c r="E323" s="637" t="s">
        <v>2983</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2984</v>
      </c>
      <c r="D324" s="507" t="s">
        <v>2035</v>
      </c>
      <c r="E324" s="630" t="s">
        <v>2985</v>
      </c>
      <c r="F324" s="630"/>
      <c r="G324" s="631" t="s">
        <v>1813</v>
      </c>
      <c r="H324" s="632" t="s">
        <v>536</v>
      </c>
      <c r="I324" s="638"/>
      <c r="J324" s="634" t="s">
        <v>841</v>
      </c>
      <c r="K324" s="635"/>
      <c r="L324" s="626"/>
      <c r="M324" s="627"/>
      <c r="N324" s="636" t="s">
        <v>3040</v>
      </c>
      <c r="O324" s="636" t="s">
        <v>3371</v>
      </c>
      <c r="P324" s="507" t="s">
        <v>2505</v>
      </c>
      <c r="Q324" s="631"/>
      <c r="S324" s="611"/>
      <c r="T324" s="611"/>
      <c r="U324" s="611"/>
      <c r="V324" s="611"/>
      <c r="W324" s="611"/>
      <c r="X324" s="611"/>
      <c r="Y324" s="611"/>
      <c r="Z324" s="611"/>
      <c r="AA324" s="611"/>
    </row>
    <row r="325" spans="1:27" ht="12" customHeight="1">
      <c r="A325" s="611"/>
      <c r="B325" s="640"/>
      <c r="C325" s="507" t="s">
        <v>2986</v>
      </c>
      <c r="D325" s="507" t="s">
        <v>1871</v>
      </c>
      <c r="E325" s="637" t="s">
        <v>2987</v>
      </c>
      <c r="F325" s="637"/>
      <c r="G325" s="631" t="s">
        <v>1814</v>
      </c>
      <c r="H325" s="632" t="s">
        <v>536</v>
      </c>
      <c r="I325" s="638"/>
      <c r="J325" s="634" t="s">
        <v>1798</v>
      </c>
      <c r="K325" s="635"/>
      <c r="L325" s="626"/>
      <c r="M325" s="627"/>
      <c r="N325" s="636" t="s">
        <v>3042</v>
      </c>
      <c r="O325" s="636" t="s">
        <v>3903</v>
      </c>
      <c r="P325" s="507" t="s">
        <v>2506</v>
      </c>
      <c r="Q325" s="631"/>
      <c r="S325" s="611"/>
      <c r="T325" s="611"/>
      <c r="U325" s="611"/>
      <c r="V325" s="611"/>
      <c r="W325" s="611"/>
      <c r="X325" s="611"/>
      <c r="Y325" s="611"/>
      <c r="Z325" s="611"/>
      <c r="AA325" s="611"/>
    </row>
    <row r="326" spans="1:27" ht="12" customHeight="1">
      <c r="A326" s="611"/>
      <c r="B326" s="640"/>
      <c r="C326" s="507" t="s">
        <v>2988</v>
      </c>
      <c r="D326" s="507" t="s">
        <v>2035</v>
      </c>
      <c r="E326" s="637" t="s">
        <v>2020</v>
      </c>
      <c r="F326" s="637"/>
      <c r="G326" s="631" t="s">
        <v>3888</v>
      </c>
      <c r="H326" s="632" t="s">
        <v>537</v>
      </c>
      <c r="I326" s="638"/>
      <c r="J326" s="634" t="s">
        <v>1235</v>
      </c>
      <c r="K326" s="635"/>
      <c r="L326" s="626"/>
      <c r="M326" s="627"/>
      <c r="N326" s="636" t="s">
        <v>431</v>
      </c>
      <c r="O326" s="636" t="s">
        <v>3024</v>
      </c>
      <c r="P326" s="507" t="s">
        <v>2507</v>
      </c>
      <c r="Q326" s="631"/>
      <c r="S326" s="611"/>
      <c r="T326" s="611"/>
      <c r="U326" s="611"/>
      <c r="V326" s="611"/>
      <c r="W326" s="611"/>
      <c r="X326" s="611"/>
      <c r="Y326" s="611"/>
      <c r="Z326" s="611"/>
      <c r="AA326" s="611"/>
    </row>
    <row r="327" spans="1:27" ht="12" customHeight="1">
      <c r="A327" s="611"/>
      <c r="B327" s="640"/>
      <c r="C327" s="507" t="s">
        <v>2989</v>
      </c>
      <c r="D327" s="507" t="s">
        <v>2011</v>
      </c>
      <c r="E327" s="637" t="s">
        <v>2990</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3083</v>
      </c>
      <c r="D328" s="507" t="s">
        <v>2035</v>
      </c>
      <c r="E328" s="630" t="s">
        <v>3084</v>
      </c>
      <c r="F328" s="630"/>
      <c r="G328" s="631" t="s">
        <v>1816</v>
      </c>
      <c r="H328" s="632" t="s">
        <v>536</v>
      </c>
      <c r="I328" s="638"/>
      <c r="J328" s="634" t="s">
        <v>3039</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3085</v>
      </c>
      <c r="D329" s="507" t="s">
        <v>2011</v>
      </c>
      <c r="E329" s="637" t="s">
        <v>2270</v>
      </c>
      <c r="F329" s="637"/>
      <c r="G329" s="631" t="s">
        <v>2696</v>
      </c>
      <c r="H329" s="632" t="s">
        <v>537</v>
      </c>
      <c r="I329" s="638"/>
      <c r="J329" s="634" t="s">
        <v>3041</v>
      </c>
      <c r="K329" s="635"/>
      <c r="L329" s="626"/>
      <c r="M329" s="627"/>
      <c r="N329" s="636" t="s">
        <v>437</v>
      </c>
      <c r="O329" s="636" t="s">
        <v>3632</v>
      </c>
      <c r="P329" s="507" t="s">
        <v>2510</v>
      </c>
      <c r="Q329" s="631"/>
      <c r="S329" s="611"/>
      <c r="T329" s="611"/>
      <c r="U329" s="611"/>
      <c r="V329" s="611"/>
      <c r="W329" s="611"/>
      <c r="X329" s="611"/>
      <c r="Y329" s="611"/>
      <c r="Z329" s="611"/>
      <c r="AA329" s="611"/>
    </row>
    <row r="330" spans="1:27" ht="12" customHeight="1">
      <c r="A330" s="611"/>
      <c r="B330" s="640"/>
      <c r="C330" s="507" t="s">
        <v>3086</v>
      </c>
      <c r="D330" s="507" t="s">
        <v>2035</v>
      </c>
      <c r="E330" s="637" t="s">
        <v>1338</v>
      </c>
      <c r="F330" s="637"/>
      <c r="G330" s="631" t="s">
        <v>3885</v>
      </c>
      <c r="H330" s="632" t="s">
        <v>537</v>
      </c>
      <c r="I330" s="638"/>
      <c r="J330" s="634" t="s">
        <v>430</v>
      </c>
      <c r="K330" s="635"/>
      <c r="L330" s="626"/>
      <c r="M330" s="627"/>
      <c r="N330" s="636" t="s">
        <v>439</v>
      </c>
      <c r="O330" s="636" t="s">
        <v>2937</v>
      </c>
      <c r="P330" s="507" t="s">
        <v>2511</v>
      </c>
      <c r="Q330" s="631"/>
      <c r="S330" s="611"/>
      <c r="T330" s="611"/>
      <c r="U330" s="611"/>
      <c r="V330" s="611"/>
      <c r="W330" s="611"/>
      <c r="X330" s="611"/>
      <c r="Y330" s="611"/>
      <c r="Z330" s="611"/>
      <c r="AA330" s="611"/>
    </row>
    <row r="331" spans="1:27" ht="12" customHeight="1">
      <c r="A331" s="611"/>
      <c r="B331" s="640"/>
      <c r="C331" s="507" t="s">
        <v>3087</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3011</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3257</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3283</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3561</v>
      </c>
      <c r="H336" s="632" t="s">
        <v>536</v>
      </c>
      <c r="I336" s="638"/>
      <c r="J336" s="634" t="s">
        <v>3010</v>
      </c>
      <c r="K336" s="635"/>
      <c r="L336" s="626"/>
      <c r="M336" s="627"/>
      <c r="N336" s="636" t="s">
        <v>211</v>
      </c>
      <c r="O336" s="636" t="s">
        <v>2936</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3562</v>
      </c>
      <c r="H337" s="632" t="s">
        <v>536</v>
      </c>
      <c r="I337" s="633"/>
      <c r="J337" s="634" t="s">
        <v>3012</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3024</v>
      </c>
      <c r="D338" s="507" t="s">
        <v>2011</v>
      </c>
      <c r="E338" s="630" t="s">
        <v>431</v>
      </c>
      <c r="F338" s="630"/>
      <c r="G338" s="631" t="s">
        <v>3563</v>
      </c>
      <c r="H338" s="632" t="s">
        <v>537</v>
      </c>
      <c r="I338" s="638"/>
      <c r="J338" s="634" t="s">
        <v>3256</v>
      </c>
      <c r="K338" s="635"/>
      <c r="L338" s="626"/>
      <c r="M338" s="627"/>
      <c r="N338" s="507" t="s">
        <v>3871</v>
      </c>
      <c r="O338" s="507" t="s">
        <v>3087</v>
      </c>
      <c r="P338" s="1589" t="s">
        <v>3240</v>
      </c>
      <c r="Q338" s="631"/>
      <c r="S338" s="611"/>
      <c r="T338" s="611"/>
      <c r="U338" s="611"/>
      <c r="V338" s="611"/>
      <c r="W338" s="611"/>
      <c r="X338" s="611"/>
      <c r="Y338" s="611"/>
      <c r="Z338" s="611"/>
      <c r="AA338" s="611"/>
    </row>
    <row r="339" spans="1:27" ht="12" customHeight="1">
      <c r="A339" s="611"/>
      <c r="B339" s="640"/>
      <c r="C339" s="507" t="s">
        <v>3025</v>
      </c>
      <c r="D339" s="507" t="s">
        <v>1871</v>
      </c>
      <c r="E339" s="637" t="s">
        <v>3629</v>
      </c>
      <c r="F339" s="637"/>
      <c r="G339" s="631" t="s">
        <v>3564</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3630</v>
      </c>
      <c r="D340" s="507" t="s">
        <v>2035</v>
      </c>
      <c r="E340" s="637" t="s">
        <v>3631</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3632</v>
      </c>
      <c r="D341" s="507" t="s">
        <v>2035</v>
      </c>
      <c r="E341" s="637" t="s">
        <v>3633</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3634</v>
      </c>
      <c r="D342" s="507" t="s">
        <v>1871</v>
      </c>
      <c r="E342" s="637" t="s">
        <v>2810</v>
      </c>
      <c r="F342" s="637"/>
      <c r="G342" s="631" t="s">
        <v>1803</v>
      </c>
      <c r="H342" s="632" t="s">
        <v>537</v>
      </c>
      <c r="I342" s="611"/>
      <c r="J342" s="634" t="s">
        <v>1371</v>
      </c>
      <c r="K342" s="635"/>
      <c r="L342" s="626"/>
      <c r="M342" s="627"/>
      <c r="N342" s="636" t="s">
        <v>3669</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3671</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3872</v>
      </c>
      <c r="O344" s="507" t="s">
        <v>1009</v>
      </c>
      <c r="P344" s="1589"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1463</v>
      </c>
      <c r="O349" s="636" t="s">
        <v>3761</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963</v>
      </c>
      <c r="P351" s="1589"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3874</v>
      </c>
      <c r="O359" s="507" t="s">
        <v>3278</v>
      </c>
      <c r="P359" s="1589"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3875</v>
      </c>
      <c r="O360" s="507" t="s">
        <v>3818</v>
      </c>
      <c r="P360" s="1589"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3799</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2953</v>
      </c>
      <c r="O368" s="636" t="s">
        <v>3763</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1589"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1589"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1589"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1589"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3758</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3410</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3618</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3757</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89"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3763</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3369</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3733</v>
      </c>
      <c r="O400" s="636" t="s">
        <v>2938</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3285</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88"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3289</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3086</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3632</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3818</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2938</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89"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3278</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3815</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2980</v>
      </c>
      <c r="P420" s="1589"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3371</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3083</v>
      </c>
      <c r="P426" s="1589"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3818</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3815</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3426</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2980</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1675</v>
      </c>
      <c r="O439" s="507" t="s">
        <v>1726</v>
      </c>
      <c r="P439" s="1589"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3274</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3903</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2630</v>
      </c>
      <c r="O444" s="636" t="s">
        <v>2984</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3758</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3448</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1676</v>
      </c>
      <c r="O453" s="507" t="s">
        <v>2269</v>
      </c>
      <c r="P453" s="1589"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1677</v>
      </c>
      <c r="O455" s="507" t="s">
        <v>3757</v>
      </c>
      <c r="P455" s="1589"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89"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2988</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3378</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3086</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3556</v>
      </c>
      <c r="O469" s="636" t="s">
        <v>3757</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89"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3071</v>
      </c>
      <c r="O477" s="636" t="s">
        <v>3085</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2984</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967</v>
      </c>
      <c r="O479" s="636" t="s">
        <v>3757</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89"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1681</v>
      </c>
      <c r="O483" s="507" t="s">
        <v>1740</v>
      </c>
      <c r="P483" s="1589"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3816</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3283</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3483</v>
      </c>
      <c r="O490" s="636" t="s">
        <v>3902</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3485</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1682</v>
      </c>
      <c r="O493" s="507" t="s">
        <v>3083</v>
      </c>
      <c r="P493" s="1589"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3085</v>
      </c>
      <c r="P495" s="1588"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88"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3086</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2938</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3085</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3757</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3281</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2938</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3770</v>
      </c>
      <c r="O510" s="636" t="s">
        <v>2978</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3760</v>
      </c>
      <c r="P511" s="1589"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3895</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3289</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2938</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3900</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3760</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3279</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3815</v>
      </c>
      <c r="P520" s="1589"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3902</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3632</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3468</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88"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3172</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3086</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89"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1685</v>
      </c>
      <c r="O546" s="507" t="s">
        <v>232</v>
      </c>
      <c r="P546" s="1589"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3757</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3906</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3189</v>
      </c>
      <c r="O552" s="636" t="s">
        <v>3763</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1866</v>
      </c>
      <c r="P558" s="1589"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88"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2338</v>
      </c>
      <c r="O567" s="636" t="s">
        <v>3761</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89"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89"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89"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2859</v>
      </c>
      <c r="O574" s="636" t="s">
        <v>3901</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2872</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2874</v>
      </c>
      <c r="O576" s="636" t="s">
        <v>3369</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3369</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3901</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3017</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3902</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2627</v>
      </c>
      <c r="O585" s="636" t="s">
        <v>3274</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1418</v>
      </c>
      <c r="O586" s="636" t="s">
        <v>3281</v>
      </c>
      <c r="P586" s="1588"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3402</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3404</v>
      </c>
      <c r="O588" s="636" t="s">
        <v>3278</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3900</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89"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3215</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2163</v>
      </c>
      <c r="O601" s="636" t="s">
        <v>415</v>
      </c>
      <c r="P601" s="627" t="s">
        <v>1163</v>
      </c>
      <c r="Q601" s="611"/>
      <c r="R601" s="507" t="s">
        <v>3864</v>
      </c>
      <c r="S601" s="507" t="s">
        <v>963</v>
      </c>
      <c r="T601" s="1589"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1589" t="s">
        <v>3240</v>
      </c>
      <c r="Q602" s="611"/>
      <c r="R602" s="507" t="s">
        <v>3865</v>
      </c>
      <c r="S602" s="507" t="s">
        <v>414</v>
      </c>
      <c r="T602" s="1589"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3866</v>
      </c>
      <c r="S603" s="507" t="s">
        <v>3757</v>
      </c>
      <c r="T603" s="1589"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3867</v>
      </c>
      <c r="S604" s="507"/>
      <c r="T604" s="1589"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3146</v>
      </c>
      <c r="O605" s="636" t="s">
        <v>1548</v>
      </c>
      <c r="P605" s="627" t="s">
        <v>1166</v>
      </c>
      <c r="Q605" s="611"/>
      <c r="R605" s="507" t="s">
        <v>3868</v>
      </c>
      <c r="S605" s="507" t="s">
        <v>3085</v>
      </c>
      <c r="T605" s="1589"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1167</v>
      </c>
      <c r="Q606" s="611"/>
      <c r="R606" s="507" t="s">
        <v>3869</v>
      </c>
      <c r="S606" s="507" t="s">
        <v>3757</v>
      </c>
      <c r="T606" s="1589"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1168</v>
      </c>
      <c r="Q607" s="611"/>
      <c r="R607" s="507" t="s">
        <v>3870</v>
      </c>
      <c r="S607" s="507" t="s">
        <v>2027</v>
      </c>
      <c r="T607" s="1589"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3283</v>
      </c>
      <c r="P608" s="627" t="s">
        <v>1169</v>
      </c>
      <c r="Q608" s="611"/>
      <c r="R608" s="507" t="s">
        <v>3871</v>
      </c>
      <c r="S608" s="507" t="s">
        <v>3087</v>
      </c>
      <c r="T608" s="1589"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3872</v>
      </c>
      <c r="S609" s="507" t="s">
        <v>1009</v>
      </c>
      <c r="T609" s="1589"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3873</v>
      </c>
      <c r="S610" s="507" t="s">
        <v>963</v>
      </c>
      <c r="T610" s="1589"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3874</v>
      </c>
      <c r="S611" s="507" t="s">
        <v>3278</v>
      </c>
      <c r="T611" s="1589"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3875</v>
      </c>
      <c r="S612" s="507" t="s">
        <v>3818</v>
      </c>
      <c r="T612" s="1589"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3900</v>
      </c>
      <c r="P613" s="627" t="s">
        <v>1174</v>
      </c>
      <c r="Q613" s="611"/>
      <c r="R613" s="507" t="s">
        <v>3371</v>
      </c>
      <c r="S613" s="507" t="s">
        <v>3815</v>
      </c>
      <c r="T613" s="1589"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3634</v>
      </c>
      <c r="P614" s="627" t="s">
        <v>1175</v>
      </c>
      <c r="Q614" s="611"/>
      <c r="R614" s="507" t="s">
        <v>3876</v>
      </c>
      <c r="S614" s="507" t="s">
        <v>3278</v>
      </c>
      <c r="T614" s="1589"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3760</v>
      </c>
      <c r="P615" s="627" t="s">
        <v>1176</v>
      </c>
      <c r="Q615" s="611"/>
      <c r="R615" s="507" t="s">
        <v>3877</v>
      </c>
      <c r="S615" s="507" t="s">
        <v>3760</v>
      </c>
      <c r="T615" s="1589"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2851</v>
      </c>
      <c r="O616" s="636" t="s">
        <v>124</v>
      </c>
      <c r="P616" s="1588" t="s">
        <v>1411</v>
      </c>
      <c r="Q616" s="611"/>
      <c r="R616" s="507" t="s">
        <v>3878</v>
      </c>
      <c r="S616" s="507" t="s">
        <v>3085</v>
      </c>
      <c r="T616" s="1589"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1729</v>
      </c>
      <c r="O617" s="636" t="s">
        <v>1219</v>
      </c>
      <c r="P617" s="627" t="s">
        <v>1177</v>
      </c>
      <c r="Q617" s="611"/>
      <c r="R617" s="507" t="s">
        <v>1671</v>
      </c>
      <c r="S617" s="507" t="s">
        <v>2180</v>
      </c>
      <c r="T617" s="1589"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1691</v>
      </c>
      <c r="O618" s="507" t="s">
        <v>1550</v>
      </c>
      <c r="P618" s="1589" t="s">
        <v>3240</v>
      </c>
      <c r="Q618" s="611"/>
      <c r="R618" s="507" t="s">
        <v>1497</v>
      </c>
      <c r="S618" s="507" t="s">
        <v>1733</v>
      </c>
      <c r="T618" s="1589"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1733</v>
      </c>
      <c r="O619" s="636" t="s">
        <v>2024</v>
      </c>
      <c r="P619" s="627" t="s">
        <v>1178</v>
      </c>
      <c r="Q619" s="611"/>
      <c r="R619" s="507" t="s">
        <v>1672</v>
      </c>
      <c r="S619" s="507" t="s">
        <v>963</v>
      </c>
      <c r="T619" s="1589"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2980</v>
      </c>
      <c r="T620" s="1589"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89" t="s">
        <v>3240</v>
      </c>
      <c r="Q621" s="611"/>
      <c r="R621" s="507" t="s">
        <v>1674</v>
      </c>
      <c r="S621" s="507" t="s">
        <v>3083</v>
      </c>
      <c r="T621" s="1589"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89"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1180</v>
      </c>
      <c r="Q623" s="1590"/>
      <c r="R623" s="507" t="s">
        <v>1676</v>
      </c>
      <c r="S623" s="507" t="s">
        <v>2269</v>
      </c>
      <c r="T623" s="1589"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1181</v>
      </c>
      <c r="Q624" s="611"/>
      <c r="R624" s="507" t="s">
        <v>1677</v>
      </c>
      <c r="S624" s="507" t="s">
        <v>3757</v>
      </c>
      <c r="T624" s="1589"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89" t="s">
        <v>3240</v>
      </c>
      <c r="Q625" s="611"/>
      <c r="R625" s="507" t="s">
        <v>1678</v>
      </c>
      <c r="S625" s="507" t="s">
        <v>215</v>
      </c>
      <c r="T625" s="1589"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1694</v>
      </c>
      <c r="O626" s="507" t="s">
        <v>411</v>
      </c>
      <c r="P626" s="1589" t="s">
        <v>3240</v>
      </c>
      <c r="Q626" s="611"/>
      <c r="R626" s="507" t="s">
        <v>1679</v>
      </c>
      <c r="S626" s="507" t="s">
        <v>2034</v>
      </c>
      <c r="T626" s="1589"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2027</v>
      </c>
      <c r="P627" s="627" t="s">
        <v>1182</v>
      </c>
      <c r="Q627" s="611"/>
      <c r="R627" s="507" t="s">
        <v>1680</v>
      </c>
      <c r="S627" s="507" t="s">
        <v>2269</v>
      </c>
      <c r="T627" s="1589"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1183</v>
      </c>
      <c r="Q628" s="611"/>
      <c r="R628" s="507" t="s">
        <v>1681</v>
      </c>
      <c r="S628" s="507" t="s">
        <v>1740</v>
      </c>
      <c r="T628" s="1589"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1184</v>
      </c>
      <c r="Q629" s="611"/>
      <c r="R629" s="507" t="s">
        <v>1682</v>
      </c>
      <c r="S629" s="507" t="s">
        <v>3083</v>
      </c>
      <c r="T629" s="1589"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2177</v>
      </c>
      <c r="P630" s="627" t="s">
        <v>1185</v>
      </c>
      <c r="Q630" s="611"/>
      <c r="R630" s="636" t="s">
        <v>1415</v>
      </c>
      <c r="S630" s="636" t="s">
        <v>1463</v>
      </c>
      <c r="T630" s="1589"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1010</v>
      </c>
      <c r="P631" s="627" t="s">
        <v>1186</v>
      </c>
      <c r="Q631" s="611"/>
      <c r="R631" s="507" t="s">
        <v>1683</v>
      </c>
      <c r="S631" s="507" t="s">
        <v>3760</v>
      </c>
      <c r="T631" s="1589"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1187</v>
      </c>
      <c r="Q632" s="611"/>
      <c r="R632" s="507" t="s">
        <v>2368</v>
      </c>
      <c r="S632" s="507" t="s">
        <v>3815</v>
      </c>
      <c r="T632" s="1589"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3291</v>
      </c>
      <c r="P633" s="627" t="s">
        <v>1188</v>
      </c>
      <c r="Q633" s="611"/>
      <c r="R633" s="507" t="s">
        <v>1684</v>
      </c>
      <c r="S633" s="507"/>
      <c r="T633" s="1589"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89"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89"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3281</v>
      </c>
      <c r="P636" s="627" t="s">
        <v>1191</v>
      </c>
      <c r="Q636" s="611"/>
      <c r="R636" s="507" t="s">
        <v>3416</v>
      </c>
      <c r="S636" s="507" t="s">
        <v>1866</v>
      </c>
      <c r="T636" s="1589"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89"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89"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89"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89"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3757</v>
      </c>
      <c r="P641" s="627" t="s">
        <v>1196</v>
      </c>
      <c r="Q641" s="611"/>
      <c r="R641" s="507" t="s">
        <v>1690</v>
      </c>
      <c r="S641" s="507" t="s">
        <v>2663</v>
      </c>
      <c r="T641" s="1589"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3763</v>
      </c>
      <c r="P642" s="627" t="s">
        <v>1197</v>
      </c>
      <c r="Q642" s="611"/>
      <c r="R642" s="507" t="s">
        <v>1691</v>
      </c>
      <c r="S642" s="507" t="s">
        <v>1550</v>
      </c>
      <c r="T642" s="1589"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3819</v>
      </c>
      <c r="P643" s="627" t="s">
        <v>1198</v>
      </c>
      <c r="Q643" s="611"/>
      <c r="R643" s="507" t="s">
        <v>1692</v>
      </c>
      <c r="S643" s="507" t="s">
        <v>137</v>
      </c>
      <c r="T643" s="1589"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89" t="s">
        <v>3240</v>
      </c>
      <c r="Q644" s="611"/>
      <c r="R644" s="507" t="s">
        <v>1693</v>
      </c>
      <c r="S644" s="507" t="s">
        <v>963</v>
      </c>
      <c r="T644" s="1589"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3025</v>
      </c>
      <c r="P645" s="627" t="s">
        <v>1199</v>
      </c>
      <c r="Q645" s="611"/>
      <c r="R645" s="507" t="s">
        <v>1694</v>
      </c>
      <c r="S645" s="507" t="s">
        <v>411</v>
      </c>
      <c r="T645" s="1589"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89"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3396</v>
      </c>
      <c r="O647" s="636" t="s">
        <v>3274</v>
      </c>
      <c r="P647" s="627" t="s">
        <v>1201</v>
      </c>
      <c r="Q647" s="611"/>
      <c r="R647" s="507" t="s">
        <v>1419</v>
      </c>
      <c r="S647" s="507" t="s">
        <v>2013</v>
      </c>
      <c r="T647" s="1589"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1001</v>
      </c>
      <c r="P648" s="627" t="s">
        <v>1202</v>
      </c>
      <c r="Q648" s="611"/>
      <c r="R648" s="507" t="s">
        <v>1696</v>
      </c>
      <c r="S648" s="507" t="s">
        <v>1009</v>
      </c>
      <c r="T648" s="1589"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2798</v>
      </c>
      <c r="O649" s="636" t="s">
        <v>1221</v>
      </c>
      <c r="P649" s="627" t="s">
        <v>1203</v>
      </c>
      <c r="Q649" s="611"/>
      <c r="R649" s="507" t="s">
        <v>1697</v>
      </c>
      <c r="S649" s="507" t="s">
        <v>2269</v>
      </c>
      <c r="T649" s="1589"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3806</v>
      </c>
      <c r="O650" s="636" t="s">
        <v>3085</v>
      </c>
      <c r="P650" s="627" t="s">
        <v>1204</v>
      </c>
      <c r="Q650" s="611"/>
      <c r="R650" s="507" t="s">
        <v>1698</v>
      </c>
      <c r="S650" s="507" t="s">
        <v>963</v>
      </c>
      <c r="T650" s="1589"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1866</v>
      </c>
      <c r="P651" s="627" t="s">
        <v>1205</v>
      </c>
      <c r="Q651" s="611"/>
      <c r="R651" s="507" t="s">
        <v>1699</v>
      </c>
      <c r="S651" s="507" t="s">
        <v>1001</v>
      </c>
      <c r="T651" s="1589"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2514</v>
      </c>
      <c r="O652" s="636" t="s">
        <v>1003</v>
      </c>
      <c r="P652" s="627" t="s">
        <v>746</v>
      </c>
      <c r="Q652" s="611"/>
      <c r="R652" s="507" t="s">
        <v>1700</v>
      </c>
      <c r="S652" s="507" t="s">
        <v>215</v>
      </c>
      <c r="T652" s="1589"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1588" t="s">
        <v>1411</v>
      </c>
      <c r="Q653" s="611"/>
      <c r="R653" s="507" t="s">
        <v>1701</v>
      </c>
      <c r="S653" s="507" t="s">
        <v>2980</v>
      </c>
      <c r="T653" s="1589"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1589" t="s">
        <v>3240</v>
      </c>
      <c r="Q654" s="611"/>
      <c r="R654" s="507" t="s">
        <v>1702</v>
      </c>
      <c r="S654" s="507" t="s">
        <v>3083</v>
      </c>
      <c r="T654" s="1589"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3895</v>
      </c>
      <c r="P655" s="627" t="s">
        <v>747</v>
      </c>
      <c r="Q655" s="611"/>
      <c r="R655" s="507" t="s">
        <v>1703</v>
      </c>
      <c r="S655" s="507" t="s">
        <v>963</v>
      </c>
      <c r="T655" s="1589"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1589"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1589" t="s">
        <v>3240</v>
      </c>
      <c r="Q657" s="611"/>
      <c r="R657" s="507" t="s">
        <v>1705</v>
      </c>
      <c r="S657" s="507" t="s">
        <v>3760</v>
      </c>
      <c r="T657" s="1589"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3659</v>
      </c>
      <c r="O658" s="636" t="s">
        <v>120</v>
      </c>
      <c r="P658" s="627" t="s">
        <v>748</v>
      </c>
      <c r="Q658" s="611"/>
      <c r="R658" s="507" t="s">
        <v>1706</v>
      </c>
      <c r="S658" s="507" t="s">
        <v>215</v>
      </c>
      <c r="T658" s="1589"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1589"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2002</v>
      </c>
      <c r="O660" s="636" t="s">
        <v>2978</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3813</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1698</v>
      </c>
      <c r="O665" s="507" t="s">
        <v>963</v>
      </c>
      <c r="P665" s="1589"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3818</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89"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3287</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3818</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3068</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89"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2945</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741</v>
      </c>
      <c r="O681" s="636" t="s">
        <v>3086</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3825</v>
      </c>
      <c r="O683" s="636" t="s">
        <v>3816</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1696</v>
      </c>
      <c r="O687" s="507" t="s">
        <v>1009</v>
      </c>
      <c r="P687" s="1589"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3196</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1531</v>
      </c>
      <c r="O691" s="636" t="s">
        <v>3369</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3780</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1398</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1701</v>
      </c>
      <c r="O699" s="507" t="s">
        <v>2980</v>
      </c>
      <c r="P699" s="1589"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1702</v>
      </c>
      <c r="O700" s="507" t="s">
        <v>3083</v>
      </c>
      <c r="P700" s="1589"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2122</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1746</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1590"/>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1420</v>
      </c>
      <c r="O716" s="636" t="s">
        <v>3083</v>
      </c>
      <c r="P716" s="1588"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3222</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3480</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89"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3369</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1589"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1588"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3760</v>
      </c>
      <c r="P747" s="1589"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88"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89"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89"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24" sqref="D24"/>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8" width="6.28515625" style="482" customWidth="1"/>
    <col min="19" max="19" width="10.140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2011-015 Briarcliff Summit Apartments , Atlanta, Fulton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949</v>
      </c>
      <c r="B3" s="465" t="s">
        <v>2911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3058</v>
      </c>
      <c r="C5" s="465" t="s">
        <v>2907</v>
      </c>
      <c r="H5" s="1445" t="s">
        <v>3936</v>
      </c>
      <c r="I5" s="1190"/>
      <c r="J5" s="1190"/>
      <c r="K5" s="1190"/>
      <c r="L5" s="1190"/>
      <c r="M5" s="1190"/>
      <c r="N5" s="1191"/>
      <c r="O5" s="713" t="s">
        <v>3065</v>
      </c>
      <c r="P5" s="713"/>
      <c r="Q5" s="1445" t="s">
        <v>3937</v>
      </c>
      <c r="R5" s="1190"/>
      <c r="S5" s="1191"/>
    </row>
    <row r="6" spans="1:19" s="458" customFormat="1" ht="12.6" customHeight="1">
      <c r="D6" s="508"/>
      <c r="E6" s="464" t="s">
        <v>1640</v>
      </c>
      <c r="F6" s="472"/>
      <c r="H6" s="1445" t="s">
        <v>4053</v>
      </c>
      <c r="I6" s="1190"/>
      <c r="J6" s="1190"/>
      <c r="K6" s="1190"/>
      <c r="L6" s="1190"/>
      <c r="M6" s="1190"/>
      <c r="N6" s="1191"/>
      <c r="O6" s="713" t="s">
        <v>2774</v>
      </c>
      <c r="Q6" s="1445" t="s">
        <v>3938</v>
      </c>
      <c r="R6" s="1190"/>
      <c r="S6" s="1191"/>
    </row>
    <row r="7" spans="1:19" s="458" customFormat="1" ht="12.6" customHeight="1">
      <c r="D7" s="508"/>
      <c r="E7" s="464" t="s">
        <v>952</v>
      </c>
      <c r="H7" s="1445" t="s">
        <v>3922</v>
      </c>
      <c r="I7" s="1190"/>
      <c r="J7" s="1191"/>
      <c r="K7" s="1475" t="s">
        <v>1253</v>
      </c>
      <c r="L7" s="1445"/>
      <c r="M7" s="1190"/>
      <c r="N7" s="1191"/>
      <c r="O7" s="713" t="s">
        <v>2833</v>
      </c>
      <c r="Q7" s="1476">
        <v>9545667450</v>
      </c>
      <c r="R7" s="1477"/>
      <c r="S7" s="1478"/>
    </row>
    <row r="8" spans="1:19" s="458" customFormat="1" ht="12.6" customHeight="1">
      <c r="D8" s="508"/>
      <c r="E8" s="464" t="s">
        <v>2829</v>
      </c>
      <c r="H8" s="1442" t="s">
        <v>1446</v>
      </c>
      <c r="I8" s="723" t="s">
        <v>1972</v>
      </c>
      <c r="J8" s="1479">
        <v>41062408</v>
      </c>
      <c r="K8" s="1191"/>
      <c r="L8" s="398" t="s">
        <v>1975</v>
      </c>
      <c r="N8" s="1480">
        <v>1</v>
      </c>
      <c r="O8" s="713" t="s">
        <v>3054</v>
      </c>
      <c r="Q8" s="1476">
        <v>2074503297</v>
      </c>
      <c r="R8" s="1477"/>
      <c r="S8" s="1478"/>
    </row>
    <row r="9" spans="1:19" s="458" customFormat="1" ht="12.6" customHeight="1">
      <c r="D9" s="508"/>
      <c r="E9" s="464" t="s">
        <v>3060</v>
      </c>
      <c r="H9" s="1476">
        <v>9545667450</v>
      </c>
      <c r="I9" s="1478"/>
      <c r="J9" s="1481"/>
      <c r="K9" s="723" t="s">
        <v>2832</v>
      </c>
      <c r="L9" s="1482"/>
      <c r="M9" s="1191"/>
      <c r="N9" s="466" t="s">
        <v>3059</v>
      </c>
      <c r="O9" s="1483" t="s">
        <v>3939</v>
      </c>
      <c r="P9" s="1484"/>
      <c r="Q9" s="1484"/>
      <c r="R9" s="1484"/>
      <c r="S9" s="1485"/>
    </row>
    <row r="10" spans="1:19" s="458" customFormat="1" ht="13.15" customHeight="1">
      <c r="D10" s="508"/>
      <c r="E10" s="441" t="s">
        <v>996</v>
      </c>
      <c r="H10" s="501"/>
      <c r="L10" s="550" t="s">
        <v>1973</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3061</v>
      </c>
      <c r="C12" s="465" t="s">
        <v>2908</v>
      </c>
      <c r="F12" s="465"/>
      <c r="G12" s="465"/>
      <c r="H12" s="465"/>
      <c r="I12" s="465"/>
      <c r="J12" s="465"/>
      <c r="K12" s="465"/>
      <c r="L12" s="397" t="s">
        <v>1970</v>
      </c>
      <c r="O12" s="1486" t="s">
        <v>1971</v>
      </c>
      <c r="P12" s="1486"/>
      <c r="Q12" s="1486"/>
      <c r="R12" s="1486"/>
      <c r="S12" s="1486"/>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3062</v>
      </c>
      <c r="D14" s="506" t="s">
        <v>3063</v>
      </c>
      <c r="H14" s="721"/>
      <c r="I14" s="721"/>
      <c r="J14" s="721"/>
      <c r="K14" s="459"/>
      <c r="L14" s="397" t="s">
        <v>1974</v>
      </c>
      <c r="M14" s="482"/>
      <c r="O14" s="1487" t="s">
        <v>1969</v>
      </c>
      <c r="P14" s="1487"/>
      <c r="Q14" s="1487"/>
      <c r="R14" s="1487"/>
      <c r="S14" s="1487"/>
    </row>
    <row r="15" spans="1:19" s="458" customFormat="1" ht="4.1500000000000004" customHeight="1">
      <c r="D15" s="510"/>
      <c r="E15" s="511"/>
      <c r="H15" s="1488"/>
      <c r="I15" s="1488"/>
      <c r="J15" s="1488"/>
      <c r="K15" s="714"/>
      <c r="L15" s="1488"/>
      <c r="M15" s="1488"/>
      <c r="N15" s="714"/>
      <c r="O15" s="1489"/>
      <c r="P15" s="1489"/>
      <c r="Q15" s="723"/>
      <c r="R15" s="1489"/>
      <c r="S15" s="1489"/>
    </row>
    <row r="16" spans="1:19" s="458" customFormat="1" ht="12.6" customHeight="1">
      <c r="D16" s="461" t="s">
        <v>3211</v>
      </c>
      <c r="E16" s="458" t="s">
        <v>2909</v>
      </c>
      <c r="H16" s="1445" t="s">
        <v>3940</v>
      </c>
      <c r="I16" s="1190"/>
      <c r="J16" s="1190"/>
      <c r="K16" s="1190"/>
      <c r="L16" s="1190"/>
      <c r="M16" s="1190"/>
      <c r="N16" s="1191"/>
      <c r="O16" s="713" t="s">
        <v>3065</v>
      </c>
      <c r="P16" s="713"/>
      <c r="Q16" s="1445" t="s">
        <v>3937</v>
      </c>
      <c r="R16" s="1190"/>
      <c r="S16" s="1191"/>
    </row>
    <row r="17" spans="4:19" s="458" customFormat="1" ht="12.6" customHeight="1">
      <c r="D17" s="508"/>
      <c r="E17" s="464" t="s">
        <v>1640</v>
      </c>
      <c r="F17" s="472"/>
      <c r="H17" s="1445" t="s">
        <v>4053</v>
      </c>
      <c r="I17" s="1190"/>
      <c r="J17" s="1190"/>
      <c r="K17" s="1190"/>
      <c r="L17" s="1190"/>
      <c r="M17" s="1190"/>
      <c r="N17" s="1191"/>
      <c r="O17" s="713" t="s">
        <v>2774</v>
      </c>
      <c r="Q17" s="1445" t="s">
        <v>3938</v>
      </c>
      <c r="R17" s="1190"/>
      <c r="S17" s="1191"/>
    </row>
    <row r="18" spans="4:19" s="458" customFormat="1" ht="12.6" customHeight="1">
      <c r="D18" s="508"/>
      <c r="E18" s="464" t="s">
        <v>952</v>
      </c>
      <c r="H18" s="1445" t="s">
        <v>3941</v>
      </c>
      <c r="I18" s="1190"/>
      <c r="J18" s="1191"/>
      <c r="O18" s="713" t="s">
        <v>2833</v>
      </c>
      <c r="Q18" s="1476">
        <v>9565667450</v>
      </c>
      <c r="R18" s="1477"/>
      <c r="S18" s="1478"/>
    </row>
    <row r="19" spans="4:19" s="458" customFormat="1" ht="12.6" customHeight="1">
      <c r="D19" s="461"/>
      <c r="E19" s="464" t="s">
        <v>2829</v>
      </c>
      <c r="H19" s="1442" t="s">
        <v>1446</v>
      </c>
      <c r="I19" s="723" t="s">
        <v>1972</v>
      </c>
      <c r="J19" s="1479">
        <v>41062408</v>
      </c>
      <c r="K19" s="1191"/>
      <c r="L19" s="398" t="s">
        <v>1975</v>
      </c>
      <c r="N19" s="1480">
        <v>1</v>
      </c>
      <c r="O19" s="713" t="s">
        <v>3054</v>
      </c>
      <c r="Q19" s="1476">
        <v>2074503297</v>
      </c>
      <c r="R19" s="1477"/>
      <c r="S19" s="1478"/>
    </row>
    <row r="20" spans="4:19" s="458" customFormat="1" ht="12.6" customHeight="1">
      <c r="D20" s="508"/>
      <c r="E20" s="464" t="s">
        <v>3060</v>
      </c>
      <c r="H20" s="1476">
        <v>9565667450</v>
      </c>
      <c r="I20" s="1478"/>
      <c r="J20" s="1481"/>
      <c r="K20" s="723" t="s">
        <v>2832</v>
      </c>
      <c r="L20" s="1482"/>
      <c r="M20" s="1191"/>
      <c r="N20" s="466" t="s">
        <v>3059</v>
      </c>
      <c r="O20" s="1483" t="s">
        <v>3939</v>
      </c>
      <c r="P20" s="1484"/>
      <c r="Q20" s="1484"/>
      <c r="R20" s="1484"/>
      <c r="S20" s="1485"/>
    </row>
    <row r="21" spans="4:19" ht="4.1500000000000004" customHeight="1">
      <c r="D21" s="491"/>
      <c r="H21" s="1490"/>
      <c r="I21" s="1490"/>
      <c r="J21" s="1490"/>
      <c r="K21" s="723"/>
      <c r="L21" s="1490"/>
      <c r="M21" s="1490"/>
      <c r="N21" s="714"/>
      <c r="O21" s="1489"/>
      <c r="P21" s="1489"/>
      <c r="Q21" s="723"/>
      <c r="R21" s="1489"/>
      <c r="S21" s="1489"/>
    </row>
    <row r="22" spans="4:19" s="458" customFormat="1" ht="12.6" customHeight="1">
      <c r="D22" s="461" t="s">
        <v>3212</v>
      </c>
      <c r="E22" s="458" t="s">
        <v>2910</v>
      </c>
      <c r="F22" s="721"/>
      <c r="H22" s="1445"/>
      <c r="I22" s="1190"/>
      <c r="J22" s="1190"/>
      <c r="K22" s="1190"/>
      <c r="L22" s="1190"/>
      <c r="M22" s="1190"/>
      <c r="N22" s="1191"/>
      <c r="O22" s="713" t="s">
        <v>3065</v>
      </c>
      <c r="P22" s="713"/>
      <c r="Q22" s="1445"/>
      <c r="R22" s="1190"/>
      <c r="S22" s="1191"/>
    </row>
    <row r="23" spans="4:19" s="458" customFormat="1" ht="12.6" customHeight="1">
      <c r="D23" s="508"/>
      <c r="E23" s="464" t="s">
        <v>1640</v>
      </c>
      <c r="F23" s="472"/>
      <c r="H23" s="1445"/>
      <c r="I23" s="1190"/>
      <c r="J23" s="1190"/>
      <c r="K23" s="1190"/>
      <c r="L23" s="1190"/>
      <c r="M23" s="1190"/>
      <c r="N23" s="1191"/>
      <c r="O23" s="713" t="s">
        <v>2774</v>
      </c>
      <c r="Q23" s="1445"/>
      <c r="R23" s="1190"/>
      <c r="S23" s="1191"/>
    </row>
    <row r="24" spans="4:19" s="458" customFormat="1" ht="12.6" customHeight="1">
      <c r="D24" s="508"/>
      <c r="E24" s="464" t="s">
        <v>952</v>
      </c>
      <c r="H24" s="1445"/>
      <c r="I24" s="1190"/>
      <c r="J24" s="1191"/>
      <c r="O24" s="713" t="s">
        <v>2833</v>
      </c>
      <c r="Q24" s="1476"/>
      <c r="R24" s="1477"/>
      <c r="S24" s="1478"/>
    </row>
    <row r="25" spans="4:19" s="458" customFormat="1" ht="12.6" customHeight="1">
      <c r="E25" s="464" t="s">
        <v>2829</v>
      </c>
      <c r="H25" s="1442"/>
      <c r="I25" s="493" t="s">
        <v>3352</v>
      </c>
      <c r="J25" s="1479"/>
      <c r="K25" s="1191"/>
      <c r="O25" s="713" t="s">
        <v>3054</v>
      </c>
      <c r="Q25" s="1476"/>
      <c r="R25" s="1477"/>
      <c r="S25" s="1478"/>
    </row>
    <row r="26" spans="4:19" s="458" customFormat="1" ht="12.6" customHeight="1">
      <c r="D26" s="508"/>
      <c r="E26" s="464" t="s">
        <v>3060</v>
      </c>
      <c r="H26" s="1476"/>
      <c r="I26" s="1478"/>
      <c r="J26" s="1481"/>
      <c r="K26" s="723" t="s">
        <v>2832</v>
      </c>
      <c r="L26" s="1482"/>
      <c r="M26" s="1191"/>
      <c r="N26" s="466" t="s">
        <v>3059</v>
      </c>
      <c r="O26" s="1483"/>
      <c r="P26" s="1484"/>
      <c r="Q26" s="1484"/>
      <c r="R26" s="1484"/>
      <c r="S26" s="1485"/>
    </row>
    <row r="27" spans="4:19" s="458" customFormat="1" ht="4.1500000000000004" customHeight="1">
      <c r="D27" s="508"/>
      <c r="E27" s="721"/>
      <c r="F27" s="721"/>
      <c r="G27" s="713"/>
      <c r="H27" s="1490"/>
      <c r="I27" s="1490"/>
      <c r="J27" s="1490"/>
      <c r="K27" s="723"/>
      <c r="L27" s="1490"/>
      <c r="M27" s="1490"/>
      <c r="N27" s="714"/>
      <c r="O27" s="1489"/>
      <c r="P27" s="1489"/>
      <c r="Q27" s="723"/>
      <c r="R27" s="1489"/>
      <c r="S27" s="1489"/>
    </row>
    <row r="28" spans="4:19" s="458" customFormat="1" ht="12.6" customHeight="1">
      <c r="D28" s="461" t="s">
        <v>2760</v>
      </c>
      <c r="E28" s="458" t="s">
        <v>2910</v>
      </c>
      <c r="F28" s="721"/>
      <c r="H28" s="1445"/>
      <c r="I28" s="1190"/>
      <c r="J28" s="1190"/>
      <c r="K28" s="1190"/>
      <c r="L28" s="1190"/>
      <c r="M28" s="1190"/>
      <c r="N28" s="1191"/>
      <c r="O28" s="713" t="s">
        <v>3065</v>
      </c>
      <c r="P28" s="713"/>
      <c r="Q28" s="1445"/>
      <c r="R28" s="1190"/>
      <c r="S28" s="1191"/>
    </row>
    <row r="29" spans="4:19" s="458" customFormat="1" ht="12.6" customHeight="1">
      <c r="D29" s="508"/>
      <c r="E29" s="464" t="s">
        <v>1640</v>
      </c>
      <c r="F29" s="472"/>
      <c r="H29" s="1445"/>
      <c r="I29" s="1190"/>
      <c r="J29" s="1190"/>
      <c r="K29" s="1190"/>
      <c r="L29" s="1190"/>
      <c r="M29" s="1190"/>
      <c r="N29" s="1191"/>
      <c r="O29" s="713" t="s">
        <v>2774</v>
      </c>
      <c r="Q29" s="1445"/>
      <c r="R29" s="1190"/>
      <c r="S29" s="1191"/>
    </row>
    <row r="30" spans="4:19" s="458" customFormat="1" ht="12.6" customHeight="1">
      <c r="D30" s="508"/>
      <c r="E30" s="464" t="s">
        <v>952</v>
      </c>
      <c r="H30" s="1445"/>
      <c r="I30" s="1190"/>
      <c r="J30" s="1191"/>
      <c r="O30" s="713" t="s">
        <v>2833</v>
      </c>
      <c r="Q30" s="1476"/>
      <c r="R30" s="1477"/>
      <c r="S30" s="1478"/>
    </row>
    <row r="31" spans="4:19" s="458" customFormat="1" ht="12.6" customHeight="1">
      <c r="E31" s="464" t="s">
        <v>2829</v>
      </c>
      <c r="H31" s="1442"/>
      <c r="I31" s="493" t="s">
        <v>3352</v>
      </c>
      <c r="J31" s="1479"/>
      <c r="K31" s="1191"/>
      <c r="O31" s="713" t="s">
        <v>3054</v>
      </c>
      <c r="Q31" s="1476"/>
      <c r="R31" s="1477"/>
      <c r="S31" s="1478"/>
    </row>
    <row r="32" spans="4:19" s="458" customFormat="1" ht="12.6" customHeight="1">
      <c r="D32" s="508"/>
      <c r="E32" s="464" t="s">
        <v>3060</v>
      </c>
      <c r="H32" s="1476"/>
      <c r="I32" s="1478"/>
      <c r="J32" s="1481"/>
      <c r="K32" s="723" t="s">
        <v>2832</v>
      </c>
      <c r="L32" s="1482"/>
      <c r="M32" s="1191"/>
      <c r="N32" s="466" t="s">
        <v>3059</v>
      </c>
      <c r="O32" s="1483"/>
      <c r="P32" s="1484"/>
      <c r="Q32" s="1484"/>
      <c r="R32" s="1484"/>
      <c r="S32" s="1485"/>
    </row>
    <row r="33" spans="3:19" ht="4.1500000000000004" customHeight="1"/>
    <row r="34" spans="3:19" s="458" customFormat="1" ht="13.15" customHeight="1">
      <c r="C34" s="510" t="s">
        <v>3064</v>
      </c>
      <c r="D34" s="506" t="s">
        <v>2912</v>
      </c>
      <c r="H34" s="721"/>
      <c r="I34" s="721"/>
      <c r="J34" s="721"/>
      <c r="K34" s="721"/>
      <c r="L34" s="721"/>
      <c r="M34" s="721"/>
    </row>
    <row r="35" spans="3:19" s="458" customFormat="1" ht="4.1500000000000004" customHeight="1">
      <c r="C35" s="512"/>
      <c r="D35" s="506"/>
      <c r="H35" s="1488"/>
      <c r="I35" s="1488"/>
      <c r="J35" s="1488"/>
      <c r="K35" s="714"/>
      <c r="L35" s="1488"/>
      <c r="M35" s="1488"/>
      <c r="N35" s="714"/>
      <c r="O35" s="1489"/>
      <c r="P35" s="1489"/>
      <c r="Q35" s="723"/>
      <c r="R35" s="1489"/>
      <c r="S35" s="1489"/>
    </row>
    <row r="36" spans="3:19" s="458" customFormat="1" ht="12.6" customHeight="1">
      <c r="D36" s="461" t="s">
        <v>3211</v>
      </c>
      <c r="E36" s="458" t="s">
        <v>1238</v>
      </c>
      <c r="H36" s="1445" t="s">
        <v>3942</v>
      </c>
      <c r="I36" s="1190"/>
      <c r="J36" s="1190"/>
      <c r="K36" s="1190"/>
      <c r="L36" s="1190"/>
      <c r="M36" s="1190"/>
      <c r="N36" s="1191"/>
      <c r="O36" s="713" t="s">
        <v>3065</v>
      </c>
      <c r="P36" s="713"/>
      <c r="Q36" s="1445" t="s">
        <v>3943</v>
      </c>
      <c r="R36" s="1190"/>
      <c r="S36" s="1191"/>
    </row>
    <row r="37" spans="3:19" s="458" customFormat="1" ht="12.6" customHeight="1">
      <c r="D37" s="508"/>
      <c r="E37" s="464" t="s">
        <v>1640</v>
      </c>
      <c r="F37" s="472"/>
      <c r="H37" s="1445" t="s">
        <v>3944</v>
      </c>
      <c r="I37" s="1190"/>
      <c r="J37" s="1190"/>
      <c r="K37" s="1190"/>
      <c r="L37" s="1190"/>
      <c r="M37" s="1190"/>
      <c r="N37" s="1191"/>
      <c r="O37" s="713" t="s">
        <v>2774</v>
      </c>
      <c r="Q37" s="1445" t="s">
        <v>3945</v>
      </c>
      <c r="R37" s="1190"/>
      <c r="S37" s="1191"/>
    </row>
    <row r="38" spans="3:19" s="458" customFormat="1" ht="12.6" customHeight="1">
      <c r="D38" s="508"/>
      <c r="E38" s="464" t="s">
        <v>952</v>
      </c>
      <c r="H38" s="1445" t="s">
        <v>3946</v>
      </c>
      <c r="I38" s="1190"/>
      <c r="J38" s="1191"/>
      <c r="O38" s="713" t="s">
        <v>2833</v>
      </c>
      <c r="Q38" s="1476">
        <v>7043830280</v>
      </c>
      <c r="R38" s="1477"/>
      <c r="S38" s="1478"/>
    </row>
    <row r="39" spans="3:19" s="458" customFormat="1" ht="12.6" customHeight="1">
      <c r="E39" s="464" t="s">
        <v>2829</v>
      </c>
      <c r="H39" s="1442" t="s">
        <v>2050</v>
      </c>
      <c r="I39" s="493" t="s">
        <v>3352</v>
      </c>
      <c r="J39" s="1479">
        <v>282885640</v>
      </c>
      <c r="K39" s="1191"/>
      <c r="O39" s="713" t="s">
        <v>3054</v>
      </c>
      <c r="Q39" s="1476"/>
      <c r="R39" s="1477"/>
      <c r="S39" s="1478"/>
    </row>
    <row r="40" spans="3:19" s="458" customFormat="1" ht="12.6" customHeight="1">
      <c r="D40" s="508"/>
      <c r="E40" s="464" t="s">
        <v>3060</v>
      </c>
      <c r="H40" s="1476">
        <v>7043830280</v>
      </c>
      <c r="I40" s="1478"/>
      <c r="J40" s="1481"/>
      <c r="K40" s="723" t="s">
        <v>2832</v>
      </c>
      <c r="L40" s="1482">
        <v>7047150046</v>
      </c>
      <c r="M40" s="1191"/>
      <c r="N40" s="466" t="s">
        <v>3059</v>
      </c>
      <c r="O40" s="1483" t="s">
        <v>3947</v>
      </c>
      <c r="P40" s="1484"/>
      <c r="Q40" s="1484"/>
      <c r="R40" s="1484"/>
      <c r="S40" s="1485"/>
    </row>
    <row r="41" spans="3:19" ht="4.1500000000000004" customHeight="1">
      <c r="H41" s="1490"/>
      <c r="I41" s="1490"/>
      <c r="J41" s="1490"/>
      <c r="K41" s="723"/>
      <c r="L41" s="1490"/>
      <c r="M41" s="1490"/>
      <c r="N41" s="714"/>
      <c r="O41" s="1489"/>
      <c r="P41" s="1489"/>
      <c r="Q41" s="723"/>
      <c r="R41" s="1489"/>
      <c r="S41" s="1489"/>
    </row>
    <row r="42" spans="3:19" s="458" customFormat="1" ht="12.6" customHeight="1">
      <c r="D42" s="461" t="s">
        <v>3212</v>
      </c>
      <c r="E42" s="458" t="s">
        <v>1239</v>
      </c>
      <c r="F42" s="461"/>
      <c r="H42" s="1445" t="s">
        <v>3948</v>
      </c>
      <c r="I42" s="1190"/>
      <c r="J42" s="1190"/>
      <c r="K42" s="1190"/>
      <c r="L42" s="1190"/>
      <c r="M42" s="1190"/>
      <c r="N42" s="1191"/>
      <c r="O42" s="713" t="s">
        <v>3065</v>
      </c>
      <c r="P42" s="713"/>
      <c r="Q42" s="1445" t="s">
        <v>3943</v>
      </c>
      <c r="R42" s="1190"/>
      <c r="S42" s="1191"/>
    </row>
    <row r="43" spans="3:19" s="458" customFormat="1" ht="12.6" customHeight="1">
      <c r="D43" s="508"/>
      <c r="E43" s="464" t="s">
        <v>1640</v>
      </c>
      <c r="F43" s="472"/>
      <c r="H43" s="1445" t="s">
        <v>3944</v>
      </c>
      <c r="I43" s="1190"/>
      <c r="J43" s="1190"/>
      <c r="K43" s="1190"/>
      <c r="L43" s="1190"/>
      <c r="M43" s="1190"/>
      <c r="N43" s="1191"/>
      <c r="O43" s="713" t="s">
        <v>2774</v>
      </c>
      <c r="Q43" s="1445" t="s">
        <v>3945</v>
      </c>
      <c r="R43" s="1190"/>
      <c r="S43" s="1191"/>
    </row>
    <row r="44" spans="3:19" s="458" customFormat="1" ht="12.6" customHeight="1">
      <c r="D44" s="508"/>
      <c r="E44" s="464" t="s">
        <v>952</v>
      </c>
      <c r="H44" s="1445" t="s">
        <v>3946</v>
      </c>
      <c r="I44" s="1190"/>
      <c r="J44" s="1191"/>
      <c r="O44" s="713" t="s">
        <v>2833</v>
      </c>
      <c r="Q44" s="1476">
        <v>7043830280</v>
      </c>
      <c r="R44" s="1477"/>
      <c r="S44" s="1478"/>
    </row>
    <row r="45" spans="3:19" s="458" customFormat="1" ht="12.6" customHeight="1">
      <c r="D45" s="461"/>
      <c r="E45" s="464" t="s">
        <v>2829</v>
      </c>
      <c r="H45" s="1442" t="s">
        <v>2050</v>
      </c>
      <c r="I45" s="493" t="s">
        <v>3352</v>
      </c>
      <c r="J45" s="1479">
        <v>282885640</v>
      </c>
      <c r="K45" s="1191"/>
      <c r="O45" s="713" t="s">
        <v>3054</v>
      </c>
      <c r="Q45" s="1476"/>
      <c r="R45" s="1477"/>
      <c r="S45" s="1478"/>
    </row>
    <row r="46" spans="3:19" s="458" customFormat="1" ht="12.6" customHeight="1">
      <c r="D46" s="508"/>
      <c r="E46" s="464" t="s">
        <v>3060</v>
      </c>
      <c r="H46" s="1476">
        <v>7043830280</v>
      </c>
      <c r="I46" s="1478"/>
      <c r="J46" s="1481"/>
      <c r="K46" s="723" t="s">
        <v>2832</v>
      </c>
      <c r="L46" s="1482">
        <v>7047150045</v>
      </c>
      <c r="M46" s="1191"/>
      <c r="N46" s="466" t="s">
        <v>3059</v>
      </c>
      <c r="O46" s="1483" t="s">
        <v>3947</v>
      </c>
      <c r="P46" s="1484"/>
      <c r="Q46" s="1484"/>
      <c r="R46" s="1484"/>
      <c r="S46" s="1485"/>
    </row>
    <row r="47" spans="3:19" s="458" customFormat="1" ht="4.1500000000000004" customHeight="1">
      <c r="D47" s="508"/>
      <c r="E47" s="464"/>
      <c r="F47" s="461"/>
      <c r="H47" s="501"/>
      <c r="I47" s="501"/>
      <c r="J47" s="1491"/>
      <c r="K47" s="723"/>
      <c r="L47" s="501"/>
      <c r="M47" s="501"/>
      <c r="N47" s="723"/>
      <c r="O47" s="501"/>
      <c r="P47" s="501"/>
      <c r="Q47" s="723"/>
      <c r="R47" s="501"/>
      <c r="S47" s="501"/>
    </row>
    <row r="48" spans="3:19" s="458" customFormat="1" ht="13.15" customHeight="1">
      <c r="C48" s="512" t="s">
        <v>3821</v>
      </c>
      <c r="D48" s="506" t="s">
        <v>993</v>
      </c>
      <c r="H48" s="721"/>
      <c r="I48" s="721"/>
      <c r="J48" s="721"/>
      <c r="K48" s="721"/>
      <c r="L48" s="721"/>
      <c r="M48" s="721"/>
    </row>
    <row r="49" spans="1:19" s="458" customFormat="1" ht="4.1500000000000004" customHeight="1">
      <c r="D49" s="512"/>
      <c r="E49" s="511"/>
      <c r="H49" s="1488"/>
      <c r="I49" s="1488"/>
      <c r="J49" s="1488"/>
      <c r="K49" s="714"/>
      <c r="L49" s="1488"/>
      <c r="M49" s="1488"/>
      <c r="N49" s="714"/>
      <c r="O49" s="1489"/>
      <c r="P49" s="1489"/>
      <c r="Q49" s="723"/>
      <c r="R49" s="1489"/>
      <c r="S49" s="1489"/>
    </row>
    <row r="50" spans="1:19" s="458" customFormat="1" ht="12.6" customHeight="1">
      <c r="E50" s="458" t="s">
        <v>103</v>
      </c>
      <c r="H50" s="1445"/>
      <c r="I50" s="1190"/>
      <c r="J50" s="1190"/>
      <c r="K50" s="1190"/>
      <c r="L50" s="1190"/>
      <c r="M50" s="1190"/>
      <c r="N50" s="1191"/>
      <c r="O50" s="713" t="s">
        <v>3065</v>
      </c>
      <c r="P50" s="713"/>
      <c r="Q50" s="1445"/>
      <c r="R50" s="1190"/>
      <c r="S50" s="1191"/>
    </row>
    <row r="51" spans="1:19" s="458" customFormat="1" ht="12.6" customHeight="1">
      <c r="D51" s="508"/>
      <c r="E51" s="464" t="s">
        <v>1640</v>
      </c>
      <c r="F51" s="472"/>
      <c r="H51" s="1445"/>
      <c r="I51" s="1190"/>
      <c r="J51" s="1190"/>
      <c r="K51" s="1190"/>
      <c r="L51" s="1190"/>
      <c r="M51" s="1190"/>
      <c r="N51" s="1191"/>
      <c r="O51" s="713" t="s">
        <v>2774</v>
      </c>
      <c r="Q51" s="1445"/>
      <c r="R51" s="1190"/>
      <c r="S51" s="1191"/>
    </row>
    <row r="52" spans="1:19" s="458" customFormat="1" ht="12.6" customHeight="1">
      <c r="D52" s="508"/>
      <c r="E52" s="464" t="s">
        <v>952</v>
      </c>
      <c r="H52" s="1445"/>
      <c r="I52" s="1190"/>
      <c r="J52" s="1191"/>
      <c r="O52" s="713" t="s">
        <v>2833</v>
      </c>
      <c r="Q52" s="1476"/>
      <c r="R52" s="1477"/>
      <c r="S52" s="1478"/>
    </row>
    <row r="53" spans="1:19" s="458" customFormat="1" ht="12.6" customHeight="1">
      <c r="E53" s="464" t="s">
        <v>2829</v>
      </c>
      <c r="H53" s="1442"/>
      <c r="I53" s="493" t="s">
        <v>3352</v>
      </c>
      <c r="J53" s="1479"/>
      <c r="K53" s="1191"/>
      <c r="O53" s="713" t="s">
        <v>3054</v>
      </c>
      <c r="Q53" s="1476"/>
      <c r="R53" s="1477"/>
      <c r="S53" s="1478"/>
    </row>
    <row r="54" spans="1:19" s="458" customFormat="1" ht="12.6" customHeight="1">
      <c r="D54" s="508"/>
      <c r="E54" s="464" t="s">
        <v>3060</v>
      </c>
      <c r="H54" s="1476"/>
      <c r="I54" s="1478"/>
      <c r="J54" s="1481"/>
      <c r="K54" s="723" t="s">
        <v>2832</v>
      </c>
      <c r="L54" s="1482"/>
      <c r="M54" s="1191"/>
      <c r="N54" s="466" t="s">
        <v>3059</v>
      </c>
      <c r="O54" s="1483"/>
      <c r="P54" s="1484"/>
      <c r="Q54" s="1484"/>
      <c r="R54" s="1484"/>
      <c r="S54" s="1485"/>
    </row>
    <row r="55" spans="1:19" ht="13.15" customHeight="1"/>
    <row r="56" spans="1:19" s="458" customFormat="1" ht="13.15" customHeight="1">
      <c r="A56" s="461" t="s">
        <v>1228</v>
      </c>
      <c r="B56" s="461" t="s">
        <v>994</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8"/>
      <c r="I57" s="1488"/>
      <c r="J57" s="1488"/>
      <c r="K57" s="714"/>
      <c r="L57" s="1488"/>
      <c r="M57" s="1488"/>
      <c r="N57" s="714"/>
      <c r="O57" s="1489"/>
      <c r="P57" s="1489"/>
      <c r="Q57" s="723"/>
      <c r="R57" s="1489"/>
      <c r="S57" s="1489"/>
    </row>
    <row r="58" spans="1:19" s="458" customFormat="1" ht="13.15" customHeight="1">
      <c r="B58" s="461" t="s">
        <v>3058</v>
      </c>
      <c r="C58" s="461" t="s">
        <v>375</v>
      </c>
      <c r="H58" s="1445" t="s">
        <v>3949</v>
      </c>
      <c r="I58" s="1190"/>
      <c r="J58" s="1190"/>
      <c r="K58" s="1190"/>
      <c r="L58" s="1190"/>
      <c r="M58" s="1190"/>
      <c r="N58" s="1191"/>
      <c r="O58" s="713" t="s">
        <v>3065</v>
      </c>
      <c r="P58" s="713"/>
      <c r="Q58" s="1445" t="s">
        <v>3937</v>
      </c>
      <c r="R58" s="1190"/>
      <c r="S58" s="1191"/>
    </row>
    <row r="59" spans="1:19" s="458" customFormat="1" ht="13.15" customHeight="1">
      <c r="D59" s="508"/>
      <c r="E59" s="464" t="s">
        <v>1640</v>
      </c>
      <c r="F59" s="472"/>
      <c r="H59" s="1445" t="s">
        <v>3921</v>
      </c>
      <c r="I59" s="1190"/>
      <c r="J59" s="1190"/>
      <c r="K59" s="1190"/>
      <c r="L59" s="1190"/>
      <c r="M59" s="1190"/>
      <c r="N59" s="1191"/>
      <c r="O59" s="713" t="s">
        <v>2774</v>
      </c>
      <c r="Q59" s="1445" t="s">
        <v>3938</v>
      </c>
      <c r="R59" s="1190"/>
      <c r="S59" s="1191"/>
    </row>
    <row r="60" spans="1:19" s="458" customFormat="1" ht="13.15" customHeight="1">
      <c r="D60" s="508"/>
      <c r="E60" s="464" t="s">
        <v>952</v>
      </c>
      <c r="H60" s="1445" t="s">
        <v>3941</v>
      </c>
      <c r="I60" s="1190"/>
      <c r="J60" s="1191"/>
      <c r="O60" s="713" t="s">
        <v>2833</v>
      </c>
      <c r="Q60" s="1476">
        <v>9545667450</v>
      </c>
      <c r="R60" s="1477"/>
      <c r="S60" s="1478"/>
    </row>
    <row r="61" spans="1:19" s="458" customFormat="1" ht="13.15" customHeight="1">
      <c r="E61" s="464" t="s">
        <v>2829</v>
      </c>
      <c r="H61" s="1442" t="s">
        <v>1446</v>
      </c>
      <c r="I61" s="493" t="s">
        <v>3352</v>
      </c>
      <c r="J61" s="1479">
        <v>41062408</v>
      </c>
      <c r="K61" s="1191"/>
      <c r="O61" s="713" t="s">
        <v>3054</v>
      </c>
      <c r="Q61" s="1476">
        <v>2074503297</v>
      </c>
      <c r="R61" s="1477"/>
      <c r="S61" s="1478"/>
    </row>
    <row r="62" spans="1:19" s="458" customFormat="1" ht="13.15" customHeight="1">
      <c r="D62" s="508"/>
      <c r="E62" s="464" t="s">
        <v>3060</v>
      </c>
      <c r="H62" s="1476">
        <v>9545667450</v>
      </c>
      <c r="I62" s="1478"/>
      <c r="J62" s="1481"/>
      <c r="K62" s="723" t="s">
        <v>2832</v>
      </c>
      <c r="L62" s="1482"/>
      <c r="M62" s="1191"/>
      <c r="N62" s="466" t="s">
        <v>3059</v>
      </c>
      <c r="O62" s="1483" t="s">
        <v>3939</v>
      </c>
      <c r="P62" s="1484"/>
      <c r="Q62" s="1484"/>
      <c r="R62" s="1484"/>
      <c r="S62" s="1485"/>
    </row>
    <row r="63" spans="1:19" s="458" customFormat="1" ht="6.6" customHeight="1">
      <c r="D63" s="508"/>
      <c r="E63" s="721"/>
      <c r="F63" s="721"/>
      <c r="G63" s="713"/>
      <c r="H63" s="1490"/>
      <c r="I63" s="1490"/>
      <c r="J63" s="1490"/>
      <c r="K63" s="723"/>
      <c r="L63" s="1490"/>
      <c r="M63" s="1490"/>
      <c r="N63" s="714"/>
      <c r="O63" s="1489"/>
      <c r="P63" s="1489"/>
      <c r="Q63" s="723"/>
      <c r="R63" s="1489"/>
      <c r="S63" s="1489"/>
    </row>
    <row r="64" spans="1:19" s="458" customFormat="1" ht="13.15" customHeight="1">
      <c r="B64" s="461" t="s">
        <v>3061</v>
      </c>
      <c r="C64" s="461" t="s">
        <v>376</v>
      </c>
      <c r="H64" s="1445"/>
      <c r="I64" s="1190"/>
      <c r="J64" s="1190"/>
      <c r="K64" s="1190"/>
      <c r="L64" s="1190"/>
      <c r="M64" s="1190"/>
      <c r="N64" s="1191"/>
      <c r="O64" s="713" t="s">
        <v>3065</v>
      </c>
      <c r="P64" s="713"/>
      <c r="Q64" s="1445"/>
      <c r="R64" s="1190"/>
      <c r="S64" s="1191"/>
    </row>
    <row r="65" spans="2:19" s="458" customFormat="1" ht="13.15" customHeight="1">
      <c r="D65" s="508"/>
      <c r="E65" s="464" t="s">
        <v>1640</v>
      </c>
      <c r="F65" s="472"/>
      <c r="H65" s="1445"/>
      <c r="I65" s="1190"/>
      <c r="J65" s="1190"/>
      <c r="K65" s="1190"/>
      <c r="L65" s="1190"/>
      <c r="M65" s="1190"/>
      <c r="N65" s="1191"/>
      <c r="O65" s="713" t="s">
        <v>2774</v>
      </c>
      <c r="Q65" s="1445"/>
      <c r="R65" s="1190"/>
      <c r="S65" s="1191"/>
    </row>
    <row r="66" spans="2:19" s="458" customFormat="1" ht="13.15" customHeight="1">
      <c r="D66" s="508"/>
      <c r="E66" s="464" t="s">
        <v>952</v>
      </c>
      <c r="H66" s="1445"/>
      <c r="I66" s="1190"/>
      <c r="J66" s="1191"/>
      <c r="O66" s="713" t="s">
        <v>2833</v>
      </c>
      <c r="Q66" s="1476"/>
      <c r="R66" s="1477"/>
      <c r="S66" s="1478"/>
    </row>
    <row r="67" spans="2:19" s="458" customFormat="1" ht="13.15" customHeight="1">
      <c r="E67" s="464" t="s">
        <v>2829</v>
      </c>
      <c r="H67" s="1442"/>
      <c r="I67" s="493" t="s">
        <v>3352</v>
      </c>
      <c r="J67" s="1479"/>
      <c r="K67" s="1191"/>
      <c r="O67" s="713" t="s">
        <v>3054</v>
      </c>
      <c r="Q67" s="1476"/>
      <c r="R67" s="1477"/>
      <c r="S67" s="1478"/>
    </row>
    <row r="68" spans="2:19" s="458" customFormat="1" ht="13.15" customHeight="1">
      <c r="D68" s="508"/>
      <c r="E68" s="464" t="s">
        <v>3060</v>
      </c>
      <c r="H68" s="1476"/>
      <c r="I68" s="1478"/>
      <c r="J68" s="1481"/>
      <c r="K68" s="723" t="s">
        <v>2832</v>
      </c>
      <c r="L68" s="1482"/>
      <c r="M68" s="1191"/>
      <c r="N68" s="466" t="s">
        <v>3059</v>
      </c>
      <c r="O68" s="1483"/>
      <c r="P68" s="1484"/>
      <c r="Q68" s="1484"/>
      <c r="R68" s="1484"/>
      <c r="S68" s="1485"/>
    </row>
    <row r="69" spans="2:19" s="458" customFormat="1" ht="6.6" customHeight="1">
      <c r="D69" s="508"/>
      <c r="E69" s="721"/>
      <c r="F69" s="721"/>
      <c r="G69" s="713"/>
      <c r="H69" s="1490"/>
      <c r="I69" s="1490"/>
      <c r="J69" s="1490"/>
      <c r="K69" s="723"/>
      <c r="L69" s="1490"/>
      <c r="M69" s="1490"/>
      <c r="N69" s="714"/>
      <c r="O69" s="1489"/>
      <c r="P69" s="1489"/>
      <c r="Q69" s="723"/>
      <c r="R69" s="1489"/>
      <c r="S69" s="1489"/>
    </row>
    <row r="70" spans="2:19" s="458" customFormat="1" ht="13.15" customHeight="1">
      <c r="B70" s="461" t="s">
        <v>1237</v>
      </c>
      <c r="C70" s="461" t="s">
        <v>2278</v>
      </c>
      <c r="H70" s="1445"/>
      <c r="I70" s="1190"/>
      <c r="J70" s="1190"/>
      <c r="K70" s="1190"/>
      <c r="L70" s="1190"/>
      <c r="M70" s="1190"/>
      <c r="N70" s="1191"/>
      <c r="O70" s="713" t="s">
        <v>3065</v>
      </c>
      <c r="P70" s="713"/>
      <c r="Q70" s="1445"/>
      <c r="R70" s="1190"/>
      <c r="S70" s="1191"/>
    </row>
    <row r="71" spans="2:19" s="458" customFormat="1" ht="13.15" customHeight="1">
      <c r="D71" s="508"/>
      <c r="E71" s="464" t="s">
        <v>1640</v>
      </c>
      <c r="F71" s="472"/>
      <c r="H71" s="1445"/>
      <c r="I71" s="1190"/>
      <c r="J71" s="1190"/>
      <c r="K71" s="1190"/>
      <c r="L71" s="1190"/>
      <c r="M71" s="1190"/>
      <c r="N71" s="1191"/>
      <c r="O71" s="713" t="s">
        <v>2774</v>
      </c>
      <c r="Q71" s="1445"/>
      <c r="R71" s="1190"/>
      <c r="S71" s="1191"/>
    </row>
    <row r="72" spans="2:19" s="458" customFormat="1" ht="13.15" customHeight="1">
      <c r="D72" s="508"/>
      <c r="E72" s="464" t="s">
        <v>952</v>
      </c>
      <c r="H72" s="1445"/>
      <c r="I72" s="1190"/>
      <c r="J72" s="1191"/>
      <c r="O72" s="713" t="s">
        <v>2833</v>
      </c>
      <c r="Q72" s="1476"/>
      <c r="R72" s="1477"/>
      <c r="S72" s="1478"/>
    </row>
    <row r="73" spans="2:19" s="458" customFormat="1" ht="13.15" customHeight="1">
      <c r="E73" s="464" t="s">
        <v>2829</v>
      </c>
      <c r="H73" s="1442"/>
      <c r="I73" s="493" t="s">
        <v>3352</v>
      </c>
      <c r="J73" s="1479"/>
      <c r="K73" s="1191"/>
      <c r="O73" s="713" t="s">
        <v>3054</v>
      </c>
      <c r="Q73" s="1476"/>
      <c r="R73" s="1477"/>
      <c r="S73" s="1478"/>
    </row>
    <row r="74" spans="2:19" s="458" customFormat="1" ht="13.15" customHeight="1">
      <c r="D74" s="508"/>
      <c r="E74" s="464" t="s">
        <v>3060</v>
      </c>
      <c r="H74" s="1476"/>
      <c r="I74" s="1478"/>
      <c r="J74" s="1481"/>
      <c r="K74" s="723" t="s">
        <v>2832</v>
      </c>
      <c r="L74" s="1482"/>
      <c r="M74" s="1191"/>
      <c r="N74" s="466" t="s">
        <v>3059</v>
      </c>
      <c r="O74" s="1483"/>
      <c r="P74" s="1484"/>
      <c r="Q74" s="1484"/>
      <c r="R74" s="1484"/>
      <c r="S74" s="1485"/>
    </row>
    <row r="75" spans="2:19" ht="6.6" customHeight="1">
      <c r="H75" s="1490"/>
      <c r="I75" s="1490"/>
      <c r="J75" s="1490"/>
      <c r="K75" s="723"/>
      <c r="L75" s="1490"/>
      <c r="M75" s="1490"/>
      <c r="N75" s="714"/>
      <c r="O75" s="1489"/>
      <c r="P75" s="1489"/>
      <c r="Q75" s="723"/>
      <c r="R75" s="1489"/>
      <c r="S75" s="1489"/>
    </row>
    <row r="76" spans="2:19" s="458" customFormat="1" ht="13.15" customHeight="1">
      <c r="B76" s="461" t="s">
        <v>3210</v>
      </c>
      <c r="C76" s="461" t="s">
        <v>377</v>
      </c>
      <c r="H76" s="1445"/>
      <c r="I76" s="1190"/>
      <c r="J76" s="1190"/>
      <c r="K76" s="1190"/>
      <c r="L76" s="1190"/>
      <c r="M76" s="1190"/>
      <c r="N76" s="1191"/>
      <c r="O76" s="713" t="s">
        <v>3065</v>
      </c>
      <c r="P76" s="713"/>
      <c r="Q76" s="1445"/>
      <c r="R76" s="1190"/>
      <c r="S76" s="1191"/>
    </row>
    <row r="77" spans="2:19" s="458" customFormat="1" ht="13.15" customHeight="1">
      <c r="D77" s="508"/>
      <c r="E77" s="464" t="s">
        <v>1640</v>
      </c>
      <c r="F77" s="472"/>
      <c r="H77" s="1445"/>
      <c r="I77" s="1190"/>
      <c r="J77" s="1190"/>
      <c r="K77" s="1190"/>
      <c r="L77" s="1190"/>
      <c r="M77" s="1190"/>
      <c r="N77" s="1191"/>
      <c r="O77" s="713" t="s">
        <v>2774</v>
      </c>
      <c r="Q77" s="1445"/>
      <c r="R77" s="1190"/>
      <c r="S77" s="1191"/>
    </row>
    <row r="78" spans="2:19" s="458" customFormat="1" ht="13.15" customHeight="1">
      <c r="D78" s="508"/>
      <c r="E78" s="464" t="s">
        <v>952</v>
      </c>
      <c r="H78" s="1445"/>
      <c r="I78" s="1190"/>
      <c r="J78" s="1191"/>
      <c r="O78" s="713" t="s">
        <v>2833</v>
      </c>
      <c r="Q78" s="1476"/>
      <c r="R78" s="1477"/>
      <c r="S78" s="1478"/>
    </row>
    <row r="79" spans="2:19" s="458" customFormat="1" ht="13.15" customHeight="1">
      <c r="E79" s="464" t="s">
        <v>2829</v>
      </c>
      <c r="H79" s="1442"/>
      <c r="I79" s="493" t="s">
        <v>3352</v>
      </c>
      <c r="J79" s="1479"/>
      <c r="K79" s="1191"/>
      <c r="O79" s="713" t="s">
        <v>3054</v>
      </c>
      <c r="Q79" s="1476"/>
      <c r="R79" s="1477"/>
      <c r="S79" s="1478"/>
    </row>
    <row r="80" spans="2:19" s="458" customFormat="1" ht="13.15" customHeight="1">
      <c r="D80" s="508"/>
      <c r="E80" s="464" t="s">
        <v>3060</v>
      </c>
      <c r="H80" s="1476"/>
      <c r="I80" s="1478"/>
      <c r="J80" s="1481"/>
      <c r="K80" s="723" t="s">
        <v>2832</v>
      </c>
      <c r="L80" s="1482"/>
      <c r="M80" s="1191"/>
      <c r="N80" s="466" t="s">
        <v>3059</v>
      </c>
      <c r="O80" s="1483"/>
      <c r="P80" s="1484"/>
      <c r="Q80" s="1484"/>
      <c r="R80" s="1484"/>
      <c r="S80" s="1485"/>
    </row>
    <row r="81" spans="1:19" ht="13.15" customHeight="1"/>
    <row r="82" spans="1:19" s="464" customFormat="1" ht="13.15" customHeight="1">
      <c r="A82" s="465" t="s">
        <v>1230</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1488"/>
      <c r="I83" s="1488"/>
      <c r="J83" s="1488"/>
      <c r="K83" s="714"/>
      <c r="L83" s="1488"/>
      <c r="M83" s="1488"/>
      <c r="N83" s="714"/>
      <c r="O83" s="1489"/>
      <c r="P83" s="1489"/>
      <c r="Q83" s="723"/>
      <c r="R83" s="1489"/>
      <c r="S83" s="1489"/>
    </row>
    <row r="84" spans="1:19" s="458" customFormat="1" ht="13.15" customHeight="1">
      <c r="B84" s="461" t="s">
        <v>3058</v>
      </c>
      <c r="C84" s="461" t="s">
        <v>379</v>
      </c>
      <c r="H84" s="1445"/>
      <c r="I84" s="1190"/>
      <c r="J84" s="1190"/>
      <c r="K84" s="1190"/>
      <c r="L84" s="1190"/>
      <c r="M84" s="1190"/>
      <c r="N84" s="1191"/>
      <c r="O84" s="713" t="s">
        <v>3065</v>
      </c>
      <c r="P84" s="713"/>
      <c r="Q84" s="1445"/>
      <c r="R84" s="1190"/>
      <c r="S84" s="1191"/>
    </row>
    <row r="85" spans="1:19" s="458" customFormat="1" ht="13.15" customHeight="1">
      <c r="D85" s="508"/>
      <c r="E85" s="464" t="s">
        <v>1640</v>
      </c>
      <c r="F85" s="472"/>
      <c r="H85" s="1445"/>
      <c r="I85" s="1190"/>
      <c r="J85" s="1190"/>
      <c r="K85" s="1190"/>
      <c r="L85" s="1190"/>
      <c r="M85" s="1190"/>
      <c r="N85" s="1191"/>
      <c r="O85" s="713" t="s">
        <v>2774</v>
      </c>
      <c r="Q85" s="1445"/>
      <c r="R85" s="1190"/>
      <c r="S85" s="1191"/>
    </row>
    <row r="86" spans="1:19" s="458" customFormat="1" ht="13.15" customHeight="1">
      <c r="D86" s="508"/>
      <c r="E86" s="464" t="s">
        <v>952</v>
      </c>
      <c r="H86" s="1445"/>
      <c r="I86" s="1190"/>
      <c r="J86" s="1191"/>
      <c r="O86" s="713" t="s">
        <v>2833</v>
      </c>
      <c r="Q86" s="1476"/>
      <c r="R86" s="1477"/>
      <c r="S86" s="1478"/>
    </row>
    <row r="87" spans="1:19" s="458" customFormat="1" ht="13.15" customHeight="1">
      <c r="E87" s="464" t="s">
        <v>2829</v>
      </c>
      <c r="H87" s="1442"/>
      <c r="I87" s="493" t="s">
        <v>3352</v>
      </c>
      <c r="J87" s="1479"/>
      <c r="K87" s="1191"/>
      <c r="O87" s="713" t="s">
        <v>3054</v>
      </c>
      <c r="Q87" s="1476"/>
      <c r="R87" s="1477"/>
      <c r="S87" s="1478"/>
    </row>
    <row r="88" spans="1:19" s="458" customFormat="1" ht="13.15" customHeight="1">
      <c r="D88" s="508"/>
      <c r="E88" s="464" t="s">
        <v>3060</v>
      </c>
      <c r="H88" s="1476"/>
      <c r="I88" s="1478"/>
      <c r="J88" s="1481"/>
      <c r="K88" s="723" t="s">
        <v>2832</v>
      </c>
      <c r="L88" s="1482"/>
      <c r="M88" s="1191"/>
      <c r="N88" s="466" t="s">
        <v>3059</v>
      </c>
      <c r="O88" s="1483"/>
      <c r="P88" s="1484"/>
      <c r="Q88" s="1484"/>
      <c r="R88" s="1484"/>
      <c r="S88" s="1485"/>
    </row>
    <row r="89" spans="1:19" ht="6.6" customHeight="1">
      <c r="H89" s="1490"/>
      <c r="I89" s="1490"/>
      <c r="J89" s="1490"/>
      <c r="K89" s="723"/>
      <c r="L89" s="1490"/>
      <c r="M89" s="1490"/>
      <c r="N89" s="714"/>
      <c r="O89" s="1489"/>
      <c r="P89" s="1489"/>
      <c r="Q89" s="723"/>
      <c r="R89" s="1489"/>
      <c r="S89" s="1489"/>
    </row>
    <row r="90" spans="1:19" s="458" customFormat="1" ht="13.15" customHeight="1">
      <c r="B90" s="461" t="s">
        <v>3061</v>
      </c>
      <c r="C90" s="461" t="s">
        <v>380</v>
      </c>
      <c r="H90" s="1445" t="s">
        <v>3951</v>
      </c>
      <c r="I90" s="1190"/>
      <c r="J90" s="1190"/>
      <c r="K90" s="1190"/>
      <c r="L90" s="1190"/>
      <c r="M90" s="1190"/>
      <c r="N90" s="1191"/>
      <c r="O90" s="713" t="s">
        <v>3065</v>
      </c>
      <c r="P90" s="713"/>
      <c r="Q90" s="1445" t="s">
        <v>3954</v>
      </c>
      <c r="R90" s="1190"/>
      <c r="S90" s="1191"/>
    </row>
    <row r="91" spans="1:19" s="458" customFormat="1" ht="13.15" customHeight="1">
      <c r="D91" s="508"/>
      <c r="E91" s="464" t="s">
        <v>1640</v>
      </c>
      <c r="F91" s="472"/>
      <c r="H91" s="1445" t="s">
        <v>3952</v>
      </c>
      <c r="I91" s="1190"/>
      <c r="J91" s="1190"/>
      <c r="K91" s="1190"/>
      <c r="L91" s="1190"/>
      <c r="M91" s="1190"/>
      <c r="N91" s="1191"/>
      <c r="O91" s="713" t="s">
        <v>2774</v>
      </c>
      <c r="Q91" s="1445" t="s">
        <v>3953</v>
      </c>
      <c r="R91" s="1190"/>
      <c r="S91" s="1191"/>
    </row>
    <row r="92" spans="1:19" s="458" customFormat="1" ht="13.15" customHeight="1">
      <c r="D92" s="508"/>
      <c r="E92" s="464" t="s">
        <v>952</v>
      </c>
      <c r="H92" s="1445" t="s">
        <v>3955</v>
      </c>
      <c r="I92" s="1190"/>
      <c r="J92" s="1191"/>
      <c r="O92" s="713" t="s">
        <v>2833</v>
      </c>
      <c r="Q92" s="1476">
        <v>4435067471</v>
      </c>
      <c r="R92" s="1477"/>
      <c r="S92" s="1478"/>
    </row>
    <row r="93" spans="1:19" s="458" customFormat="1" ht="13.15" customHeight="1">
      <c r="E93" s="464" t="s">
        <v>2829</v>
      </c>
      <c r="H93" s="1442" t="s">
        <v>1447</v>
      </c>
      <c r="I93" s="493" t="s">
        <v>3352</v>
      </c>
      <c r="J93" s="1479">
        <v>212863020</v>
      </c>
      <c r="K93" s="1191"/>
      <c r="O93" s="713" t="s">
        <v>3054</v>
      </c>
      <c r="Q93" s="1476">
        <v>4435067471</v>
      </c>
      <c r="R93" s="1477"/>
      <c r="S93" s="1478"/>
    </row>
    <row r="94" spans="1:19" s="458" customFormat="1" ht="13.15" customHeight="1">
      <c r="D94" s="508"/>
      <c r="E94" s="464" t="s">
        <v>3060</v>
      </c>
      <c r="H94" s="1476">
        <v>8006384279</v>
      </c>
      <c r="I94" s="1478"/>
      <c r="J94" s="1481"/>
      <c r="K94" s="723" t="s">
        <v>2832</v>
      </c>
      <c r="L94" s="1482"/>
      <c r="M94" s="1191"/>
      <c r="N94" s="466" t="s">
        <v>3059</v>
      </c>
      <c r="O94" s="1483" t="s">
        <v>3956</v>
      </c>
      <c r="P94" s="1484"/>
      <c r="Q94" s="1484"/>
      <c r="R94" s="1484"/>
      <c r="S94" s="1485"/>
    </row>
    <row r="95" spans="1:19" ht="6.6" customHeight="1">
      <c r="H95" s="1490"/>
      <c r="I95" s="1490"/>
      <c r="J95" s="1490"/>
      <c r="K95" s="723"/>
      <c r="L95" s="1490"/>
      <c r="M95" s="1490"/>
      <c r="N95" s="714"/>
      <c r="O95" s="1489"/>
      <c r="P95" s="1489"/>
      <c r="Q95" s="723"/>
      <c r="R95" s="1489"/>
      <c r="S95" s="1489"/>
    </row>
    <row r="96" spans="1:19" s="458" customFormat="1" ht="13.15" customHeight="1">
      <c r="B96" s="461" t="s">
        <v>1237</v>
      </c>
      <c r="C96" s="461" t="s">
        <v>381</v>
      </c>
      <c r="F96" s="482"/>
      <c r="H96" s="1445" t="s">
        <v>3957</v>
      </c>
      <c r="I96" s="1190"/>
      <c r="J96" s="1190"/>
      <c r="K96" s="1190"/>
      <c r="L96" s="1190"/>
      <c r="M96" s="1190"/>
      <c r="N96" s="1191"/>
      <c r="O96" s="713" t="s">
        <v>3065</v>
      </c>
      <c r="P96" s="713"/>
      <c r="Q96" s="1445" t="s">
        <v>3937</v>
      </c>
      <c r="R96" s="1190"/>
      <c r="S96" s="1191"/>
    </row>
    <row r="97" spans="2:19" s="458" customFormat="1" ht="13.15" customHeight="1">
      <c r="D97" s="508"/>
      <c r="E97" s="464" t="s">
        <v>1640</v>
      </c>
      <c r="F97" s="472"/>
      <c r="H97" s="1445" t="s">
        <v>3950</v>
      </c>
      <c r="I97" s="1190"/>
      <c r="J97" s="1190"/>
      <c r="K97" s="1190"/>
      <c r="L97" s="1190"/>
      <c r="M97" s="1190"/>
      <c r="N97" s="1191"/>
      <c r="O97" s="713" t="s">
        <v>2774</v>
      </c>
      <c r="Q97" s="1445" t="s">
        <v>3745</v>
      </c>
      <c r="R97" s="1190"/>
      <c r="S97" s="1191"/>
    </row>
    <row r="98" spans="2:19" s="458" customFormat="1" ht="13.15" customHeight="1">
      <c r="D98" s="508"/>
      <c r="E98" s="464" t="s">
        <v>952</v>
      </c>
      <c r="H98" s="1445" t="s">
        <v>3922</v>
      </c>
      <c r="I98" s="1190"/>
      <c r="J98" s="1191"/>
      <c r="O98" s="713" t="s">
        <v>2833</v>
      </c>
      <c r="Q98" s="1476">
        <v>9545667450</v>
      </c>
      <c r="R98" s="1477"/>
      <c r="S98" s="1478"/>
    </row>
    <row r="99" spans="2:19" s="458" customFormat="1" ht="13.15" customHeight="1">
      <c r="D99" s="508"/>
      <c r="E99" s="464" t="s">
        <v>2829</v>
      </c>
      <c r="H99" s="1442" t="s">
        <v>1446</v>
      </c>
      <c r="I99" s="493"/>
      <c r="J99" s="1479">
        <v>41063290</v>
      </c>
      <c r="K99" s="1191"/>
      <c r="O99" s="713" t="s">
        <v>3054</v>
      </c>
      <c r="Q99" s="1476">
        <v>2074503297</v>
      </c>
      <c r="R99" s="1477"/>
      <c r="S99" s="1478"/>
    </row>
    <row r="100" spans="2:19" s="458" customFormat="1" ht="13.15" customHeight="1">
      <c r="D100" s="508"/>
      <c r="E100" s="464" t="s">
        <v>3060</v>
      </c>
      <c r="H100" s="1476">
        <v>2077740501</v>
      </c>
      <c r="I100" s="1478"/>
      <c r="J100" s="1481">
        <v>204</v>
      </c>
      <c r="K100" s="723" t="s">
        <v>2832</v>
      </c>
      <c r="L100" s="1482">
        <v>2078790901</v>
      </c>
      <c r="M100" s="1191"/>
      <c r="N100" s="466" t="s">
        <v>3059</v>
      </c>
      <c r="O100" s="1483" t="s">
        <v>3939</v>
      </c>
      <c r="P100" s="1484"/>
      <c r="Q100" s="1484"/>
      <c r="R100" s="1484"/>
      <c r="S100" s="1485"/>
    </row>
    <row r="101" spans="2:19" ht="6.6" customHeight="1">
      <c r="H101" s="1490"/>
      <c r="I101" s="1490"/>
      <c r="J101" s="1490"/>
      <c r="K101" s="723"/>
      <c r="L101" s="1490"/>
      <c r="M101" s="1490"/>
      <c r="N101" s="714"/>
      <c r="O101" s="1489"/>
      <c r="P101" s="1489"/>
      <c r="Q101" s="723"/>
      <c r="R101" s="1489"/>
      <c r="S101" s="1489"/>
    </row>
    <row r="102" spans="2:19" s="458" customFormat="1" ht="13.15" customHeight="1">
      <c r="B102" s="461" t="s">
        <v>3210</v>
      </c>
      <c r="C102" s="461" t="s">
        <v>382</v>
      </c>
      <c r="H102" s="1445" t="s">
        <v>3958</v>
      </c>
      <c r="I102" s="1190"/>
      <c r="J102" s="1190"/>
      <c r="K102" s="1190"/>
      <c r="L102" s="1190"/>
      <c r="M102" s="1190"/>
      <c r="N102" s="1191"/>
      <c r="O102" s="713" t="s">
        <v>3065</v>
      </c>
      <c r="P102" s="713"/>
      <c r="Q102" s="1445" t="s">
        <v>3961</v>
      </c>
      <c r="R102" s="1190"/>
      <c r="S102" s="1191"/>
    </row>
    <row r="103" spans="2:19" s="458" customFormat="1" ht="13.15" customHeight="1">
      <c r="D103" s="508"/>
      <c r="E103" s="464" t="s">
        <v>1640</v>
      </c>
      <c r="F103" s="472"/>
      <c r="H103" s="1445" t="s">
        <v>3959</v>
      </c>
      <c r="I103" s="1190"/>
      <c r="J103" s="1190"/>
      <c r="K103" s="1190"/>
      <c r="L103" s="1190"/>
      <c r="M103" s="1190"/>
      <c r="N103" s="1191"/>
      <c r="O103" s="713" t="s">
        <v>2774</v>
      </c>
      <c r="Q103" s="1445" t="s">
        <v>3960</v>
      </c>
      <c r="R103" s="1190"/>
      <c r="S103" s="1191"/>
    </row>
    <row r="104" spans="2:19" s="458" customFormat="1" ht="13.15" customHeight="1">
      <c r="D104" s="508"/>
      <c r="E104" s="464" t="s">
        <v>952</v>
      </c>
      <c r="H104" s="1445" t="s">
        <v>3932</v>
      </c>
      <c r="I104" s="1190"/>
      <c r="J104" s="1191"/>
      <c r="O104" s="713" t="s">
        <v>2833</v>
      </c>
      <c r="Q104" s="1476">
        <v>4048737014</v>
      </c>
      <c r="R104" s="1477"/>
      <c r="S104" s="1478"/>
    </row>
    <row r="105" spans="2:19" s="458" customFormat="1" ht="13.15" customHeight="1">
      <c r="D105" s="508"/>
      <c r="E105" s="464" t="s">
        <v>2829</v>
      </c>
      <c r="H105" s="1442" t="s">
        <v>1437</v>
      </c>
      <c r="I105" s="493" t="s">
        <v>3352</v>
      </c>
      <c r="J105" s="1479">
        <v>303631031</v>
      </c>
      <c r="K105" s="1191"/>
      <c r="O105" s="713" t="s">
        <v>3054</v>
      </c>
      <c r="Q105" s="1476"/>
      <c r="R105" s="1477"/>
      <c r="S105" s="1478"/>
    </row>
    <row r="106" spans="2:19" ht="13.15" customHeight="1">
      <c r="E106" s="464" t="s">
        <v>3060</v>
      </c>
      <c r="F106" s="458"/>
      <c r="G106" s="458"/>
      <c r="H106" s="1476">
        <v>4048738500</v>
      </c>
      <c r="I106" s="1478"/>
      <c r="J106" s="1481">
        <v>7014</v>
      </c>
      <c r="K106" s="723" t="s">
        <v>2832</v>
      </c>
      <c r="L106" s="1482">
        <v>4048737015</v>
      </c>
      <c r="M106" s="1191"/>
      <c r="N106" s="466" t="s">
        <v>3059</v>
      </c>
      <c r="O106" s="1483" t="s">
        <v>3962</v>
      </c>
      <c r="P106" s="1484"/>
      <c r="Q106" s="1484"/>
      <c r="R106" s="1484"/>
      <c r="S106" s="1485"/>
    </row>
    <row r="107" spans="2:19" ht="6" customHeight="1">
      <c r="E107" s="464"/>
      <c r="F107" s="458"/>
      <c r="G107" s="458"/>
      <c r="H107" s="458"/>
      <c r="I107" s="458"/>
      <c r="J107" s="458"/>
      <c r="K107" s="458"/>
      <c r="L107" s="458"/>
      <c r="M107" s="458"/>
      <c r="N107" s="458"/>
      <c r="O107" s="458"/>
      <c r="P107" s="458"/>
      <c r="Q107" s="723"/>
      <c r="R107" s="723"/>
      <c r="S107" s="1492"/>
    </row>
    <row r="108" spans="2:19" ht="0.6" customHeight="1">
      <c r="E108" s="464"/>
      <c r="F108" s="458"/>
      <c r="G108" s="721"/>
      <c r="H108" s="1488"/>
      <c r="I108" s="1488"/>
      <c r="J108" s="1488"/>
      <c r="K108" s="714"/>
      <c r="L108" s="1488"/>
      <c r="M108" s="1488"/>
      <c r="N108" s="714"/>
      <c r="O108" s="1489"/>
      <c r="P108" s="1489"/>
      <c r="Q108" s="723"/>
      <c r="R108" s="1489"/>
      <c r="S108" s="1489"/>
    </row>
    <row r="109" spans="2:19" s="458" customFormat="1" ht="13.15" customHeight="1">
      <c r="B109" s="461" t="s">
        <v>2761</v>
      </c>
      <c r="C109" s="461" t="s">
        <v>383</v>
      </c>
      <c r="H109" s="1445" t="s">
        <v>3963</v>
      </c>
      <c r="I109" s="1190"/>
      <c r="J109" s="1190"/>
      <c r="K109" s="1190"/>
      <c r="L109" s="1190"/>
      <c r="M109" s="1190"/>
      <c r="N109" s="1191"/>
      <c r="O109" s="713" t="s">
        <v>3065</v>
      </c>
      <c r="P109" s="713"/>
      <c r="Q109" s="1445" t="s">
        <v>3965</v>
      </c>
      <c r="R109" s="1190"/>
      <c r="S109" s="1191"/>
    </row>
    <row r="110" spans="2:19" s="458" customFormat="1" ht="13.15" customHeight="1">
      <c r="D110" s="508"/>
      <c r="E110" s="464" t="s">
        <v>1640</v>
      </c>
      <c r="F110" s="472"/>
      <c r="H110" s="1445" t="s">
        <v>3964</v>
      </c>
      <c r="I110" s="1190"/>
      <c r="J110" s="1190"/>
      <c r="K110" s="1190"/>
      <c r="L110" s="1190"/>
      <c r="M110" s="1190"/>
      <c r="N110" s="1191"/>
      <c r="O110" s="713" t="s">
        <v>2774</v>
      </c>
      <c r="Q110" s="1445" t="s">
        <v>3745</v>
      </c>
      <c r="R110" s="1190"/>
      <c r="S110" s="1191"/>
    </row>
    <row r="111" spans="2:19" s="458" customFormat="1" ht="13.15" customHeight="1">
      <c r="D111" s="508"/>
      <c r="E111" s="464" t="s">
        <v>952</v>
      </c>
      <c r="H111" s="1445" t="s">
        <v>3922</v>
      </c>
      <c r="I111" s="1190"/>
      <c r="J111" s="1191"/>
      <c r="O111" s="713" t="s">
        <v>2833</v>
      </c>
      <c r="Q111" s="1476">
        <v>2077801100</v>
      </c>
      <c r="R111" s="1477"/>
      <c r="S111" s="1478"/>
    </row>
    <row r="112" spans="2:19" s="458" customFormat="1" ht="13.15" customHeight="1">
      <c r="D112" s="508"/>
      <c r="E112" s="464" t="s">
        <v>2829</v>
      </c>
      <c r="H112" s="1442" t="s">
        <v>1446</v>
      </c>
      <c r="I112" s="493" t="s">
        <v>3352</v>
      </c>
      <c r="J112" s="1479">
        <v>41063263</v>
      </c>
      <c r="K112" s="1191"/>
      <c r="O112" s="713" t="s">
        <v>3054</v>
      </c>
      <c r="Q112" s="1476"/>
      <c r="R112" s="1477"/>
      <c r="S112" s="1478"/>
    </row>
    <row r="113" spans="1:19" ht="13.15" customHeight="1">
      <c r="E113" s="464" t="s">
        <v>3060</v>
      </c>
      <c r="F113" s="458"/>
      <c r="G113" s="458"/>
      <c r="H113" s="1476">
        <v>2077801100</v>
      </c>
      <c r="I113" s="1478"/>
      <c r="J113" s="1481"/>
      <c r="K113" s="723" t="s">
        <v>2832</v>
      </c>
      <c r="L113" s="1482">
        <v>2077801100</v>
      </c>
      <c r="M113" s="1191"/>
      <c r="N113" s="466" t="s">
        <v>3059</v>
      </c>
      <c r="O113" s="1483" t="s">
        <v>3966</v>
      </c>
      <c r="P113" s="1484"/>
      <c r="Q113" s="1484"/>
      <c r="R113" s="1484"/>
      <c r="S113" s="1485"/>
    </row>
    <row r="114" spans="1:19" ht="6.6" customHeight="1">
      <c r="E114" s="464"/>
      <c r="F114" s="458"/>
      <c r="G114" s="721"/>
      <c r="H114" s="1490"/>
      <c r="I114" s="1490"/>
      <c r="J114" s="1490"/>
      <c r="K114" s="723"/>
      <c r="L114" s="1490"/>
      <c r="M114" s="1490"/>
      <c r="N114" s="714"/>
      <c r="O114" s="1489"/>
      <c r="P114" s="1489"/>
      <c r="Q114" s="723"/>
      <c r="R114" s="1489"/>
      <c r="S114" s="1489"/>
    </row>
    <row r="115" spans="1:19" s="458" customFormat="1" ht="13.15" customHeight="1">
      <c r="B115" s="461" t="s">
        <v>2762</v>
      </c>
      <c r="C115" s="461" t="s">
        <v>384</v>
      </c>
      <c r="H115" s="1445" t="s">
        <v>3967</v>
      </c>
      <c r="I115" s="1190"/>
      <c r="J115" s="1190"/>
      <c r="K115" s="1190"/>
      <c r="L115" s="1190"/>
      <c r="M115" s="1190"/>
      <c r="N115" s="1191"/>
      <c r="O115" s="713" t="s">
        <v>3065</v>
      </c>
      <c r="P115" s="713"/>
      <c r="Q115" s="1445" t="s">
        <v>3968</v>
      </c>
      <c r="R115" s="1190"/>
      <c r="S115" s="1191"/>
    </row>
    <row r="116" spans="1:19" s="458" customFormat="1" ht="13.15" customHeight="1">
      <c r="D116" s="508"/>
      <c r="E116" s="464" t="s">
        <v>1640</v>
      </c>
      <c r="F116" s="472"/>
      <c r="H116" s="1445" t="s">
        <v>3969</v>
      </c>
      <c r="I116" s="1190"/>
      <c r="J116" s="1190"/>
      <c r="K116" s="1190"/>
      <c r="L116" s="1190"/>
      <c r="M116" s="1190"/>
      <c r="N116" s="1191"/>
      <c r="O116" s="713" t="s">
        <v>2774</v>
      </c>
      <c r="Q116" s="1445" t="s">
        <v>3970</v>
      </c>
      <c r="R116" s="1190"/>
      <c r="S116" s="1191"/>
    </row>
    <row r="117" spans="1:19" s="458" customFormat="1" ht="13.15" customHeight="1">
      <c r="D117" s="508"/>
      <c r="E117" s="464" t="s">
        <v>952</v>
      </c>
      <c r="H117" s="1445" t="s">
        <v>3971</v>
      </c>
      <c r="I117" s="1190"/>
      <c r="J117" s="1191"/>
      <c r="O117" s="713" t="s">
        <v>2833</v>
      </c>
      <c r="Q117" s="1476">
        <v>6178894402</v>
      </c>
      <c r="R117" s="1477"/>
      <c r="S117" s="1478"/>
    </row>
    <row r="118" spans="1:19" s="458" customFormat="1" ht="13.15" customHeight="1">
      <c r="D118" s="513"/>
      <c r="E118" s="464" t="s">
        <v>2829</v>
      </c>
      <c r="H118" s="1442" t="s">
        <v>1448</v>
      </c>
      <c r="I118" s="493" t="s">
        <v>3352</v>
      </c>
      <c r="J118" s="1479">
        <v>21504015</v>
      </c>
      <c r="K118" s="1191"/>
      <c r="O118" s="713" t="s">
        <v>3054</v>
      </c>
      <c r="Q118" s="1476"/>
      <c r="R118" s="1477"/>
      <c r="S118" s="1478"/>
    </row>
    <row r="119" spans="1:19" s="458" customFormat="1" ht="13.15" customHeight="1">
      <c r="D119" s="513"/>
      <c r="E119" s="464" t="s">
        <v>3060</v>
      </c>
      <c r="H119" s="1476">
        <v>9168894402</v>
      </c>
      <c r="I119" s="1478"/>
      <c r="J119" s="1481">
        <v>511</v>
      </c>
      <c r="K119" s="723" t="s">
        <v>2832</v>
      </c>
      <c r="L119" s="1482">
        <v>6178844329</v>
      </c>
      <c r="M119" s="1191"/>
      <c r="N119" s="466" t="s">
        <v>3059</v>
      </c>
      <c r="O119" s="1483" t="s">
        <v>3972</v>
      </c>
      <c r="P119" s="1484"/>
      <c r="Q119" s="1484"/>
      <c r="R119" s="1484"/>
      <c r="S119" s="1485"/>
    </row>
    <row r="120" spans="1:19" ht="13.15" customHeight="1"/>
    <row r="121" spans="1:19" s="458" customFormat="1" ht="13.15" customHeight="1">
      <c r="A121" s="461" t="s">
        <v>2822</v>
      </c>
      <c r="B121" s="461" t="s">
        <v>3917</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975</v>
      </c>
      <c r="B123" s="1493"/>
      <c r="C123" s="1493"/>
      <c r="D123" s="1494"/>
      <c r="E123" s="806" t="s">
        <v>3541</v>
      </c>
      <c r="F123" s="809" t="s">
        <v>3534</v>
      </c>
      <c r="G123" s="813" t="s">
        <v>3535</v>
      </c>
      <c r="H123" s="814"/>
      <c r="I123" s="815"/>
      <c r="J123" s="813" t="s">
        <v>3536</v>
      </c>
      <c r="K123" s="822"/>
      <c r="L123" s="813" t="s">
        <v>3537</v>
      </c>
      <c r="M123" s="827"/>
      <c r="N123" s="813" t="s">
        <v>3538</v>
      </c>
      <c r="O123" s="815"/>
      <c r="P123" s="813" t="s">
        <v>3539</v>
      </c>
      <c r="Q123" s="815"/>
      <c r="R123" s="813" t="s">
        <v>3540</v>
      </c>
      <c r="S123" s="832"/>
    </row>
    <row r="124" spans="1:19" s="458" customFormat="1" ht="21.6" customHeight="1">
      <c r="A124" s="1495"/>
      <c r="B124" s="1496"/>
      <c r="C124" s="1496"/>
      <c r="D124" s="1497"/>
      <c r="E124" s="807"/>
      <c r="F124" s="810"/>
      <c r="G124" s="816"/>
      <c r="H124" s="817"/>
      <c r="I124" s="818"/>
      <c r="J124" s="823"/>
      <c r="K124" s="824"/>
      <c r="L124" s="816"/>
      <c r="M124" s="828"/>
      <c r="N124" s="816"/>
      <c r="O124" s="818"/>
      <c r="P124" s="816"/>
      <c r="Q124" s="818"/>
      <c r="R124" s="816"/>
      <c r="S124" s="833"/>
    </row>
    <row r="125" spans="1:19" s="458" customFormat="1" ht="21.6" customHeight="1">
      <c r="A125" s="1495"/>
      <c r="B125" s="1496"/>
      <c r="C125" s="1496"/>
      <c r="D125" s="1497"/>
      <c r="E125" s="807"/>
      <c r="F125" s="811"/>
      <c r="G125" s="816"/>
      <c r="H125" s="817"/>
      <c r="I125" s="818"/>
      <c r="J125" s="823"/>
      <c r="K125" s="824"/>
      <c r="L125" s="829"/>
      <c r="M125" s="828"/>
      <c r="N125" s="816"/>
      <c r="O125" s="818"/>
      <c r="P125" s="816"/>
      <c r="Q125" s="818"/>
      <c r="R125" s="834"/>
      <c r="S125" s="833"/>
    </row>
    <row r="126" spans="1:19" s="458" customFormat="1" ht="21.6" customHeight="1">
      <c r="A126" s="1495"/>
      <c r="B126" s="1496"/>
      <c r="C126" s="1496"/>
      <c r="D126" s="1497"/>
      <c r="E126" s="807"/>
      <c r="F126" s="811"/>
      <c r="G126" s="816"/>
      <c r="H126" s="817"/>
      <c r="I126" s="818"/>
      <c r="J126" s="823"/>
      <c r="K126" s="824"/>
      <c r="L126" s="829"/>
      <c r="M126" s="828"/>
      <c r="N126" s="816"/>
      <c r="O126" s="818"/>
      <c r="P126" s="816"/>
      <c r="Q126" s="818"/>
      <c r="R126" s="834"/>
      <c r="S126" s="833"/>
    </row>
    <row r="127" spans="1:19" s="458" customFormat="1" ht="21.6" customHeight="1">
      <c r="A127" s="1498"/>
      <c r="B127" s="1499"/>
      <c r="C127" s="1499"/>
      <c r="D127" s="1500"/>
      <c r="E127" s="808"/>
      <c r="F127" s="812"/>
      <c r="G127" s="819"/>
      <c r="H127" s="820"/>
      <c r="I127" s="821"/>
      <c r="J127" s="825"/>
      <c r="K127" s="826"/>
      <c r="L127" s="830"/>
      <c r="M127" s="831"/>
      <c r="N127" s="819"/>
      <c r="O127" s="821"/>
      <c r="P127" s="819"/>
      <c r="Q127" s="821"/>
      <c r="R127" s="835"/>
      <c r="S127" s="836"/>
    </row>
    <row r="128" spans="1:19" s="458" customFormat="1" ht="13.9" customHeight="1">
      <c r="A128" s="718" t="s">
        <v>3533</v>
      </c>
      <c r="B128" s="719"/>
      <c r="C128" s="719"/>
      <c r="D128" s="726"/>
      <c r="E128" s="1501" t="s">
        <v>3925</v>
      </c>
      <c r="F128" s="1501" t="s">
        <v>3925</v>
      </c>
      <c r="G128" s="1502" t="s">
        <v>3925</v>
      </c>
      <c r="H128" s="1503"/>
      <c r="I128" s="1504"/>
      <c r="J128" s="1502" t="s">
        <v>3926</v>
      </c>
      <c r="K128" s="1504"/>
      <c r="L128" s="1502" t="s">
        <v>3925</v>
      </c>
      <c r="M128" s="1504"/>
      <c r="N128" s="1502" t="s">
        <v>3925</v>
      </c>
      <c r="O128" s="1504"/>
      <c r="P128" s="1505" t="s">
        <v>3973</v>
      </c>
      <c r="Q128" s="1506"/>
      <c r="R128" s="1507">
        <v>1E-4</v>
      </c>
      <c r="S128" s="1508"/>
    </row>
    <row r="129" spans="1:19" s="458" customFormat="1" ht="13.9" customHeight="1">
      <c r="A129" s="720" t="s">
        <v>3523</v>
      </c>
      <c r="B129" s="721"/>
      <c r="C129" s="721"/>
      <c r="D129" s="722"/>
      <c r="E129" s="1509"/>
      <c r="F129" s="1509"/>
      <c r="G129" s="1510"/>
      <c r="H129" s="1511"/>
      <c r="I129" s="1512"/>
      <c r="J129" s="1510"/>
      <c r="K129" s="1512"/>
      <c r="L129" s="1510"/>
      <c r="M129" s="1512"/>
      <c r="N129" s="1510"/>
      <c r="O129" s="1512"/>
      <c r="P129" s="1513"/>
      <c r="Q129" s="1514"/>
      <c r="R129" s="1515"/>
      <c r="S129" s="1516"/>
    </row>
    <row r="130" spans="1:19" s="458" customFormat="1" ht="13.9" customHeight="1">
      <c r="A130" s="720" t="s">
        <v>3524</v>
      </c>
      <c r="B130" s="721"/>
      <c r="C130" s="721"/>
      <c r="D130" s="722"/>
      <c r="E130" s="1509"/>
      <c r="F130" s="1509"/>
      <c r="G130" s="1510"/>
      <c r="H130" s="1511"/>
      <c r="I130" s="1512"/>
      <c r="J130" s="1510"/>
      <c r="K130" s="1512"/>
      <c r="L130" s="1510"/>
      <c r="M130" s="1512"/>
      <c r="N130" s="1510"/>
      <c r="O130" s="1512"/>
      <c r="P130" s="1513"/>
      <c r="Q130" s="1514"/>
      <c r="R130" s="1515"/>
      <c r="S130" s="1516"/>
    </row>
    <row r="131" spans="1:19" s="458" customFormat="1" ht="13.9" customHeight="1">
      <c r="A131" s="720" t="s">
        <v>3525</v>
      </c>
      <c r="B131" s="721"/>
      <c r="C131" s="721"/>
      <c r="D131" s="722"/>
      <c r="E131" s="1509" t="s">
        <v>3925</v>
      </c>
      <c r="F131" s="1509" t="s">
        <v>3925</v>
      </c>
      <c r="G131" s="1510" t="s">
        <v>3925</v>
      </c>
      <c r="H131" s="1511"/>
      <c r="I131" s="1512"/>
      <c r="J131" s="1510" t="s">
        <v>3925</v>
      </c>
      <c r="K131" s="1512"/>
      <c r="L131" s="1510" t="s">
        <v>3925</v>
      </c>
      <c r="M131" s="1512"/>
      <c r="N131" s="1510" t="s">
        <v>3925</v>
      </c>
      <c r="O131" s="1512"/>
      <c r="P131" s="1513" t="s">
        <v>3973</v>
      </c>
      <c r="Q131" s="1514"/>
      <c r="R131" s="1515">
        <v>0.99990000000000001</v>
      </c>
      <c r="S131" s="1516"/>
    </row>
    <row r="132" spans="1:19" s="458" customFormat="1" ht="13.9" customHeight="1">
      <c r="A132" s="720" t="s">
        <v>3526</v>
      </c>
      <c r="B132" s="721"/>
      <c r="C132" s="721"/>
      <c r="D132" s="722"/>
      <c r="E132" s="1509" t="s">
        <v>3925</v>
      </c>
      <c r="F132" s="1509" t="s">
        <v>3925</v>
      </c>
      <c r="G132" s="1510" t="s">
        <v>3925</v>
      </c>
      <c r="H132" s="1511"/>
      <c r="I132" s="1512"/>
      <c r="J132" s="1510" t="s">
        <v>3925</v>
      </c>
      <c r="K132" s="1512"/>
      <c r="L132" s="1510" t="s">
        <v>3925</v>
      </c>
      <c r="M132" s="1512"/>
      <c r="N132" s="1510" t="s">
        <v>3925</v>
      </c>
      <c r="O132" s="1512"/>
      <c r="P132" s="1513" t="s">
        <v>3973</v>
      </c>
      <c r="Q132" s="1514"/>
      <c r="R132" s="1515" t="s">
        <v>3974</v>
      </c>
      <c r="S132" s="1516"/>
    </row>
    <row r="133" spans="1:19" s="458" customFormat="1" ht="13.9" customHeight="1">
      <c r="A133" s="720" t="s">
        <v>3527</v>
      </c>
      <c r="B133" s="721"/>
      <c r="C133" s="721"/>
      <c r="D133" s="722"/>
      <c r="E133" s="1509"/>
      <c r="F133" s="1509"/>
      <c r="G133" s="1510"/>
      <c r="H133" s="1511"/>
      <c r="I133" s="1512"/>
      <c r="J133" s="1510"/>
      <c r="K133" s="1512"/>
      <c r="L133" s="1510"/>
      <c r="M133" s="1512"/>
      <c r="N133" s="1510"/>
      <c r="O133" s="1512"/>
      <c r="P133" s="1513"/>
      <c r="Q133" s="1514"/>
      <c r="R133" s="1515"/>
      <c r="S133" s="1516"/>
    </row>
    <row r="134" spans="1:19" s="458" customFormat="1" ht="13.9" customHeight="1">
      <c r="A134" s="720" t="s">
        <v>995</v>
      </c>
      <c r="B134" s="721"/>
      <c r="C134" s="721"/>
      <c r="D134" s="722"/>
      <c r="E134" s="1509" t="s">
        <v>3925</v>
      </c>
      <c r="F134" s="1509" t="s">
        <v>3925</v>
      </c>
      <c r="G134" s="1510" t="s">
        <v>3925</v>
      </c>
      <c r="H134" s="1511"/>
      <c r="I134" s="1512"/>
      <c r="J134" s="1510" t="s">
        <v>3926</v>
      </c>
      <c r="K134" s="1512"/>
      <c r="L134" s="1510" t="s">
        <v>3925</v>
      </c>
      <c r="M134" s="1512"/>
      <c r="N134" s="1510" t="s">
        <v>3925</v>
      </c>
      <c r="O134" s="1512"/>
      <c r="P134" s="1513" t="s">
        <v>3973</v>
      </c>
      <c r="Q134" s="1514"/>
      <c r="R134" s="1515">
        <v>0</v>
      </c>
      <c r="S134" s="1516"/>
    </row>
    <row r="135" spans="1:19" s="458" customFormat="1" ht="13.9" customHeight="1">
      <c r="A135" s="720" t="s">
        <v>3528</v>
      </c>
      <c r="B135" s="721"/>
      <c r="C135" s="721"/>
      <c r="D135" s="722"/>
      <c r="E135" s="1509"/>
      <c r="F135" s="1509"/>
      <c r="G135" s="1510"/>
      <c r="H135" s="1511"/>
      <c r="I135" s="1512"/>
      <c r="J135" s="1510"/>
      <c r="K135" s="1512"/>
      <c r="L135" s="1510"/>
      <c r="M135" s="1512"/>
      <c r="N135" s="1510"/>
      <c r="O135" s="1512"/>
      <c r="P135" s="1513"/>
      <c r="Q135" s="1514"/>
      <c r="R135" s="1515"/>
      <c r="S135" s="1516"/>
    </row>
    <row r="136" spans="1:19" s="458" customFormat="1" ht="13.9" customHeight="1">
      <c r="A136" s="720" t="s">
        <v>3529</v>
      </c>
      <c r="B136" s="721"/>
      <c r="C136" s="721"/>
      <c r="D136" s="722"/>
      <c r="E136" s="1509"/>
      <c r="F136" s="1509"/>
      <c r="G136" s="1510"/>
      <c r="H136" s="1511"/>
      <c r="I136" s="1512"/>
      <c r="J136" s="1510"/>
      <c r="K136" s="1512"/>
      <c r="L136" s="1510"/>
      <c r="M136" s="1512"/>
      <c r="N136" s="1510"/>
      <c r="O136" s="1512"/>
      <c r="P136" s="1513"/>
      <c r="Q136" s="1514"/>
      <c r="R136" s="1515"/>
      <c r="S136" s="1516"/>
    </row>
    <row r="137" spans="1:19" s="458" customFormat="1" ht="13.9" customHeight="1">
      <c r="A137" s="720" t="s">
        <v>3530</v>
      </c>
      <c r="B137" s="721"/>
      <c r="C137" s="721"/>
      <c r="D137" s="722"/>
      <c r="E137" s="1509"/>
      <c r="F137" s="1509"/>
      <c r="G137" s="1510"/>
      <c r="H137" s="1511"/>
      <c r="I137" s="1512"/>
      <c r="J137" s="1510"/>
      <c r="K137" s="1512"/>
      <c r="L137" s="1510"/>
      <c r="M137" s="1512"/>
      <c r="N137" s="1510"/>
      <c r="O137" s="1512"/>
      <c r="P137" s="1513"/>
      <c r="Q137" s="1514"/>
      <c r="R137" s="1515"/>
      <c r="S137" s="1516"/>
    </row>
    <row r="138" spans="1:19" s="458" customFormat="1" ht="13.9" customHeight="1">
      <c r="A138" s="720" t="s">
        <v>3531</v>
      </c>
      <c r="B138" s="721"/>
      <c r="C138" s="721"/>
      <c r="D138" s="722"/>
      <c r="E138" s="1509"/>
      <c r="F138" s="1509"/>
      <c r="G138" s="1510"/>
      <c r="H138" s="1511"/>
      <c r="I138" s="1512"/>
      <c r="J138" s="1510"/>
      <c r="K138" s="1512"/>
      <c r="L138" s="1510"/>
      <c r="M138" s="1512"/>
      <c r="N138" s="1510"/>
      <c r="O138" s="1512"/>
      <c r="P138" s="1513"/>
      <c r="Q138" s="1514"/>
      <c r="R138" s="1515"/>
      <c r="S138" s="1516"/>
    </row>
    <row r="139" spans="1:19" s="458" customFormat="1" ht="13.9" customHeight="1">
      <c r="A139" s="720" t="s">
        <v>2279</v>
      </c>
      <c r="B139" s="721"/>
      <c r="C139" s="721"/>
      <c r="D139" s="722"/>
      <c r="E139" s="1509" t="s">
        <v>3925</v>
      </c>
      <c r="F139" s="1509" t="s">
        <v>3925</v>
      </c>
      <c r="G139" s="1510" t="s">
        <v>3925</v>
      </c>
      <c r="H139" s="1511"/>
      <c r="I139" s="1512"/>
      <c r="J139" s="1510" t="s">
        <v>3925</v>
      </c>
      <c r="K139" s="1512"/>
      <c r="L139" s="1510" t="s">
        <v>3925</v>
      </c>
      <c r="M139" s="1512"/>
      <c r="N139" s="1510" t="s">
        <v>3925</v>
      </c>
      <c r="O139" s="1512"/>
      <c r="P139" s="1513" t="s">
        <v>3973</v>
      </c>
      <c r="Q139" s="1514"/>
      <c r="R139" s="1515">
        <v>0</v>
      </c>
      <c r="S139" s="1516"/>
    </row>
    <row r="140" spans="1:19" s="458" customFormat="1" ht="13.9" customHeight="1">
      <c r="A140" s="724" t="s">
        <v>3532</v>
      </c>
      <c r="B140" s="725"/>
      <c r="C140" s="725"/>
      <c r="D140" s="514"/>
      <c r="E140" s="1517" t="s">
        <v>3925</v>
      </c>
      <c r="F140" s="1517" t="s">
        <v>3925</v>
      </c>
      <c r="G140" s="1518" t="s">
        <v>3925</v>
      </c>
      <c r="H140" s="1519"/>
      <c r="I140" s="1520"/>
      <c r="J140" s="1518" t="s">
        <v>3926</v>
      </c>
      <c r="K140" s="1520"/>
      <c r="L140" s="1518" t="s">
        <v>3925</v>
      </c>
      <c r="M140" s="1520"/>
      <c r="N140" s="1518" t="s">
        <v>3925</v>
      </c>
      <c r="O140" s="1520"/>
      <c r="P140" s="1521" t="s">
        <v>3973</v>
      </c>
      <c r="Q140" s="1522"/>
      <c r="R140" s="1523">
        <v>0</v>
      </c>
      <c r="S140" s="1524"/>
    </row>
    <row r="141" spans="1:19" s="721" customFormat="1" ht="13.9" customHeight="1">
      <c r="G141" s="470"/>
      <c r="H141" s="470"/>
      <c r="I141" s="470"/>
      <c r="J141" s="723"/>
      <c r="K141" s="723"/>
      <c r="L141" s="723"/>
      <c r="M141" s="723"/>
      <c r="P141" s="468"/>
      <c r="Q141" s="489" t="s">
        <v>831</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2824</v>
      </c>
      <c r="B143" s="506"/>
      <c r="C143" s="491" t="s">
        <v>878</v>
      </c>
      <c r="N143" s="491" t="s">
        <v>821</v>
      </c>
      <c r="O143" s="491" t="s">
        <v>89</v>
      </c>
    </row>
    <row r="144" spans="1:19" ht="3.6" customHeight="1">
      <c r="B144" s="506"/>
    </row>
    <row r="145" spans="1:19" ht="42.6" customHeight="1">
      <c r="A145" s="1291" t="s">
        <v>4079</v>
      </c>
      <c r="B145" s="1350"/>
      <c r="C145" s="1350"/>
      <c r="D145" s="1350"/>
      <c r="E145" s="1350"/>
      <c r="F145" s="1350"/>
      <c r="G145" s="1350"/>
      <c r="H145" s="1350"/>
      <c r="I145" s="1350"/>
      <c r="J145" s="1350"/>
      <c r="K145" s="1350"/>
      <c r="L145" s="1350"/>
      <c r="M145" s="1351"/>
      <c r="N145" s="1294"/>
      <c r="O145" s="1352"/>
      <c r="P145" s="1352"/>
      <c r="Q145" s="1352"/>
      <c r="R145" s="1352"/>
      <c r="S145" s="1353"/>
    </row>
    <row r="146" spans="1:19" s="458" customFormat="1" ht="42.6" customHeight="1">
      <c r="A146" s="1295" t="s">
        <v>4054</v>
      </c>
      <c r="B146" s="1354"/>
      <c r="C146" s="1354"/>
      <c r="D146" s="1354"/>
      <c r="E146" s="1354"/>
      <c r="F146" s="1354"/>
      <c r="G146" s="1354"/>
      <c r="H146" s="1354"/>
      <c r="I146" s="1354"/>
      <c r="J146" s="1354"/>
      <c r="K146" s="1354"/>
      <c r="L146" s="1354"/>
      <c r="M146" s="1355"/>
      <c r="N146" s="1298"/>
      <c r="O146" s="1356"/>
      <c r="P146" s="1356"/>
      <c r="Q146" s="1356"/>
      <c r="R146" s="1356"/>
      <c r="S146" s="1357"/>
    </row>
    <row r="147" spans="1:19" s="458" customFormat="1" ht="42.6" customHeight="1">
      <c r="A147" s="1299"/>
      <c r="B147" s="1358"/>
      <c r="C147" s="1358"/>
      <c r="D147" s="1358"/>
      <c r="E147" s="1358"/>
      <c r="F147" s="1358"/>
      <c r="G147" s="1358"/>
      <c r="H147" s="1358"/>
      <c r="I147" s="1358"/>
      <c r="J147" s="1358"/>
      <c r="K147" s="1358"/>
      <c r="L147" s="1358"/>
      <c r="M147" s="1359"/>
      <c r="N147" s="1302"/>
      <c r="O147" s="1360"/>
      <c r="P147" s="1360"/>
      <c r="Q147" s="1360"/>
      <c r="R147" s="1360"/>
      <c r="S147" s="1361"/>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5"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3"/>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scale="98"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activeCell="D24" sqref="D24:G24"/>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2011-015 Briarcliff Summit Apartments , Atlanta, Fulton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3769</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2" t="s">
        <v>3926</v>
      </c>
      <c r="C5" s="713" t="s">
        <v>3651</v>
      </c>
      <c r="D5" s="458"/>
      <c r="E5" s="1442" t="s">
        <v>3925</v>
      </c>
      <c r="F5" s="715" t="s">
        <v>2652</v>
      </c>
      <c r="G5" s="458"/>
      <c r="J5" s="1443"/>
      <c r="K5" s="1444"/>
      <c r="M5" s="1442" t="s">
        <v>3926</v>
      </c>
      <c r="N5" s="713" t="s">
        <v>844</v>
      </c>
    </row>
    <row r="6" spans="1:17" s="398" customFormat="1" ht="16.899999999999999" customHeight="1">
      <c r="A6" s="733"/>
      <c r="B6" s="1442" t="s">
        <v>3925</v>
      </c>
      <c r="C6" s="713" t="s">
        <v>2834</v>
      </c>
      <c r="D6" s="458"/>
      <c r="E6" s="1442" t="s">
        <v>3925</v>
      </c>
      <c r="F6" s="715" t="s">
        <v>3310</v>
      </c>
      <c r="J6" s="1442" t="s">
        <v>3925</v>
      </c>
      <c r="K6" s="721" t="s">
        <v>845</v>
      </c>
      <c r="M6" s="1442" t="s">
        <v>3926</v>
      </c>
      <c r="N6" s="715" t="s">
        <v>843</v>
      </c>
    </row>
    <row r="7" spans="1:17" s="398" customFormat="1" ht="16.899999999999999" customHeight="1">
      <c r="A7" s="458"/>
      <c r="B7" s="1442" t="s">
        <v>3925</v>
      </c>
      <c r="C7" s="713" t="s">
        <v>2835</v>
      </c>
      <c r="E7" s="1442" t="s">
        <v>3925</v>
      </c>
      <c r="F7" s="715" t="s">
        <v>3309</v>
      </c>
      <c r="G7" s="458"/>
      <c r="J7" s="1442" t="s">
        <v>3925</v>
      </c>
      <c r="K7" s="721" t="s">
        <v>2289</v>
      </c>
      <c r="M7" s="1442" t="s">
        <v>3925</v>
      </c>
      <c r="N7" s="464" t="s">
        <v>1980</v>
      </c>
      <c r="P7" s="1443"/>
      <c r="Q7" s="1444"/>
    </row>
    <row r="8" spans="1:17" s="398" customFormat="1" ht="16.899999999999999" customHeight="1">
      <c r="A8" s="733"/>
      <c r="B8" s="1442" t="s">
        <v>3925</v>
      </c>
      <c r="C8" s="721" t="s">
        <v>3913</v>
      </c>
      <c r="D8" s="458"/>
      <c r="E8" s="1442" t="s">
        <v>3925</v>
      </c>
      <c r="F8" s="487" t="s">
        <v>3914</v>
      </c>
      <c r="H8" s="1442" t="s">
        <v>3925</v>
      </c>
      <c r="I8" s="458" t="s">
        <v>3652</v>
      </c>
      <c r="J8" s="1442" t="s">
        <v>3925</v>
      </c>
      <c r="K8" s="458" t="s">
        <v>873</v>
      </c>
      <c r="M8" s="1442" t="s">
        <v>3926</v>
      </c>
      <c r="N8" s="1445" t="s">
        <v>3975</v>
      </c>
      <c r="O8" s="1446"/>
      <c r="P8" s="1446"/>
      <c r="Q8" s="1447"/>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1228</v>
      </c>
      <c r="B11" s="395" t="s">
        <v>3493</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2925</v>
      </c>
      <c r="C13" s="458"/>
      <c r="D13" s="458"/>
      <c r="E13" s="458"/>
      <c r="F13" s="458"/>
      <c r="G13" s="458"/>
      <c r="H13" s="839" t="s">
        <v>1996</v>
      </c>
      <c r="I13" s="839"/>
      <c r="J13" s="839"/>
      <c r="K13" s="839"/>
      <c r="L13" s="797" t="s">
        <v>3066</v>
      </c>
      <c r="M13" s="797"/>
      <c r="N13" s="797" t="s">
        <v>2256</v>
      </c>
      <c r="O13" s="797"/>
      <c r="P13" s="797" t="s">
        <v>2535</v>
      </c>
      <c r="Q13" s="797"/>
    </row>
    <row r="14" spans="1:17" s="398" customFormat="1" ht="16.899999999999999" customHeight="1">
      <c r="A14" s="458"/>
      <c r="B14" s="862" t="s">
        <v>2346</v>
      </c>
      <c r="C14" s="863"/>
      <c r="D14" s="863"/>
      <c r="E14" s="719"/>
      <c r="F14" s="719"/>
      <c r="G14" s="719"/>
      <c r="H14" s="1445" t="s">
        <v>3976</v>
      </c>
      <c r="I14" s="1446"/>
      <c r="J14" s="1446"/>
      <c r="K14" s="1447"/>
      <c r="L14" s="1394">
        <v>7144800</v>
      </c>
      <c r="M14" s="1395"/>
      <c r="N14" s="1448">
        <v>6.7000000000000004E-2</v>
      </c>
      <c r="O14" s="1449"/>
      <c r="P14" s="1450">
        <v>480</v>
      </c>
      <c r="Q14" s="1451"/>
    </row>
    <row r="15" spans="1:17" s="398" customFormat="1" ht="16.899999999999999" customHeight="1">
      <c r="A15" s="458"/>
      <c r="B15" s="857" t="s">
        <v>2347</v>
      </c>
      <c r="C15" s="858"/>
      <c r="D15" s="858"/>
      <c r="E15" s="721"/>
      <c r="F15" s="721"/>
      <c r="G15" s="721"/>
      <c r="H15" s="1445" t="s">
        <v>3975</v>
      </c>
      <c r="I15" s="1446"/>
      <c r="J15" s="1446"/>
      <c r="K15" s="1447"/>
      <c r="L15" s="1394">
        <v>1500000</v>
      </c>
      <c r="M15" s="1395"/>
      <c r="N15" s="1448">
        <v>0.02</v>
      </c>
      <c r="O15" s="1449"/>
      <c r="P15" s="1452">
        <v>480</v>
      </c>
      <c r="Q15" s="1453"/>
    </row>
    <row r="16" spans="1:17" s="398" customFormat="1" ht="16.899999999999999" customHeight="1">
      <c r="A16" s="458"/>
      <c r="B16" s="865" t="s">
        <v>2348</v>
      </c>
      <c r="C16" s="866"/>
      <c r="D16" s="866"/>
      <c r="E16" s="725"/>
      <c r="F16" s="725"/>
      <c r="G16" s="725"/>
      <c r="H16" s="1445"/>
      <c r="I16" s="1446"/>
      <c r="J16" s="1446"/>
      <c r="K16" s="1447"/>
      <c r="L16" s="1394"/>
      <c r="M16" s="1395"/>
      <c r="N16" s="1448"/>
      <c r="O16" s="1449"/>
      <c r="P16" s="1452"/>
      <c r="Q16" s="1453"/>
    </row>
    <row r="17" spans="1:17" s="398" customFormat="1" ht="16.899999999999999" customHeight="1">
      <c r="A17" s="458"/>
      <c r="B17" s="862" t="s">
        <v>3331</v>
      </c>
      <c r="C17" s="863"/>
      <c r="D17" s="863"/>
      <c r="E17" s="721"/>
      <c r="F17" s="721"/>
      <c r="G17" s="721"/>
      <c r="H17" s="1445"/>
      <c r="I17" s="1446"/>
      <c r="J17" s="1446"/>
      <c r="K17" s="1447"/>
      <c r="L17" s="1394"/>
      <c r="M17" s="1395"/>
      <c r="N17" s="847"/>
      <c r="O17" s="848"/>
      <c r="P17" s="846"/>
      <c r="Q17" s="846"/>
    </row>
    <row r="18" spans="1:17" s="398" customFormat="1" ht="16.899999999999999" customHeight="1">
      <c r="A18" s="458"/>
      <c r="B18" s="857" t="s">
        <v>1382</v>
      </c>
      <c r="C18" s="858"/>
      <c r="D18" s="858"/>
      <c r="E18" s="721"/>
      <c r="H18" s="1445"/>
      <c r="I18" s="1446"/>
      <c r="J18" s="1446"/>
      <c r="K18" s="1447"/>
      <c r="L18" s="1394"/>
      <c r="M18" s="1395"/>
      <c r="N18" s="847"/>
      <c r="O18" s="848"/>
      <c r="P18" s="846"/>
      <c r="Q18" s="846"/>
    </row>
    <row r="19" spans="1:17" s="398" customFormat="1" ht="16.899999999999999" customHeight="1">
      <c r="A19" s="458"/>
      <c r="B19" s="857" t="s">
        <v>976</v>
      </c>
      <c r="C19" s="858"/>
      <c r="D19" s="858"/>
      <c r="E19" s="721"/>
      <c r="H19" s="1445"/>
      <c r="I19" s="1446"/>
      <c r="J19" s="1446"/>
      <c r="K19" s="1447"/>
      <c r="L19" s="1394"/>
      <c r="M19" s="1395"/>
      <c r="N19" s="847"/>
      <c r="O19" s="848"/>
      <c r="P19" s="846"/>
      <c r="Q19" s="846"/>
    </row>
    <row r="20" spans="1:17" s="398" customFormat="1" ht="16.899999999999999" customHeight="1">
      <c r="A20" s="458"/>
      <c r="B20" s="857" t="s">
        <v>1383</v>
      </c>
      <c r="C20" s="858"/>
      <c r="D20" s="858"/>
      <c r="E20" s="721"/>
      <c r="H20" s="1445"/>
      <c r="I20" s="1446"/>
      <c r="J20" s="1446"/>
      <c r="K20" s="1447"/>
      <c r="L20" s="1394">
        <v>9850234</v>
      </c>
      <c r="M20" s="1395"/>
      <c r="N20" s="458"/>
      <c r="O20" s="458"/>
      <c r="P20" s="458"/>
      <c r="Q20" s="458"/>
    </row>
    <row r="21" spans="1:17" s="398" customFormat="1" ht="16.899999999999999" customHeight="1">
      <c r="A21" s="458"/>
      <c r="B21" s="857" t="s">
        <v>1384</v>
      </c>
      <c r="C21" s="858"/>
      <c r="D21" s="858"/>
      <c r="E21" s="721"/>
      <c r="H21" s="1445"/>
      <c r="I21" s="1446"/>
      <c r="J21" s="1446"/>
      <c r="K21" s="1447"/>
      <c r="L21" s="1394">
        <v>2897106</v>
      </c>
      <c r="M21" s="1395"/>
      <c r="N21" s="458"/>
      <c r="O21" s="458"/>
      <c r="P21" s="458"/>
      <c r="Q21" s="458"/>
    </row>
    <row r="22" spans="1:17" s="398" customFormat="1" ht="16.899999999999999" customHeight="1">
      <c r="A22" s="458"/>
      <c r="B22" s="720" t="s">
        <v>309</v>
      </c>
      <c r="C22" s="721"/>
      <c r="D22" s="1454" t="s">
        <v>4001</v>
      </c>
      <c r="E22" s="1454"/>
      <c r="F22" s="1454"/>
      <c r="G22" s="1454"/>
      <c r="H22" s="1445"/>
      <c r="I22" s="1446"/>
      <c r="J22" s="1446"/>
      <c r="K22" s="1447"/>
      <c r="L22" s="1394">
        <v>2426617</v>
      </c>
      <c r="M22" s="1395"/>
      <c r="N22" s="458"/>
      <c r="O22" s="458"/>
      <c r="P22" s="458"/>
      <c r="Q22" s="458"/>
    </row>
    <row r="23" spans="1:17" s="398" customFormat="1" ht="16.899999999999999" customHeight="1">
      <c r="A23" s="458"/>
      <c r="B23" s="720" t="s">
        <v>309</v>
      </c>
      <c r="C23" s="721"/>
      <c r="D23" s="1454"/>
      <c r="E23" s="1454"/>
      <c r="F23" s="1454"/>
      <c r="G23" s="1454"/>
      <c r="H23" s="1445"/>
      <c r="I23" s="1446"/>
      <c r="J23" s="1446"/>
      <c r="K23" s="1447"/>
      <c r="L23" s="1394"/>
      <c r="M23" s="1395"/>
      <c r="N23" s="458"/>
      <c r="O23" s="458"/>
      <c r="P23" s="458"/>
      <c r="Q23" s="458"/>
    </row>
    <row r="24" spans="1:17" s="398" customFormat="1" ht="16.899999999999999" customHeight="1">
      <c r="A24" s="458"/>
      <c r="B24" s="724" t="s">
        <v>309</v>
      </c>
      <c r="C24" s="725"/>
      <c r="D24" s="1454"/>
      <c r="E24" s="1454"/>
      <c r="F24" s="1454"/>
      <c r="G24" s="1454"/>
      <c r="H24" s="1445"/>
      <c r="I24" s="1446"/>
      <c r="J24" s="1446"/>
      <c r="K24" s="1447"/>
      <c r="L24" s="1394"/>
      <c r="M24" s="1395"/>
      <c r="N24" s="458"/>
      <c r="O24" s="458"/>
      <c r="P24" s="458"/>
      <c r="Q24" s="458"/>
    </row>
    <row r="25" spans="1:17" s="398" customFormat="1" ht="16.899999999999999" customHeight="1">
      <c r="A25" s="458"/>
      <c r="B25" s="395" t="s">
        <v>1997</v>
      </c>
      <c r="C25" s="458"/>
      <c r="D25" s="458"/>
      <c r="E25" s="458"/>
      <c r="F25" s="458"/>
      <c r="G25" s="458"/>
      <c r="H25" s="458"/>
      <c r="I25" s="458"/>
      <c r="L25" s="853">
        <f>SUM(L14:L24)</f>
        <v>23818757</v>
      </c>
      <c r="M25" s="854"/>
      <c r="N25" s="482"/>
      <c r="O25" s="482"/>
      <c r="P25" s="482"/>
      <c r="Q25" s="482"/>
    </row>
    <row r="26" spans="1:17" s="398" customFormat="1" ht="16.899999999999999" customHeight="1">
      <c r="A26" s="458"/>
      <c r="B26" s="713" t="s">
        <v>1998</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23818757</v>
      </c>
      <c r="M26" s="854"/>
      <c r="N26" s="849"/>
      <c r="O26" s="850"/>
      <c r="P26" s="850"/>
      <c r="Q26" s="850"/>
    </row>
    <row r="27" spans="1:17" s="398" customFormat="1" ht="16.899999999999999" customHeight="1">
      <c r="A27" s="458"/>
      <c r="B27" s="464" t="s">
        <v>3259</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1230</v>
      </c>
      <c r="B29" s="395" t="s">
        <v>1381</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3193</v>
      </c>
      <c r="K30" s="723" t="s">
        <v>1994</v>
      </c>
      <c r="L30" s="723" t="s">
        <v>1999</v>
      </c>
      <c r="M30" s="799" t="s">
        <v>40</v>
      </c>
      <c r="N30" s="799"/>
      <c r="O30" s="717"/>
      <c r="P30" s="723"/>
      <c r="Q30" s="867" t="s">
        <v>3490</v>
      </c>
    </row>
    <row r="31" spans="1:17" s="398" customFormat="1" ht="13.15" customHeight="1" thickBot="1">
      <c r="A31" s="458"/>
      <c r="B31" s="727" t="s">
        <v>2925</v>
      </c>
      <c r="C31" s="725"/>
      <c r="D31" s="725"/>
      <c r="E31" s="858" t="s">
        <v>1996</v>
      </c>
      <c r="F31" s="858"/>
      <c r="G31" s="858"/>
      <c r="H31" s="797" t="s">
        <v>718</v>
      </c>
      <c r="I31" s="797"/>
      <c r="J31" s="714" t="s">
        <v>2842</v>
      </c>
      <c r="K31" s="714" t="s">
        <v>3330</v>
      </c>
      <c r="L31" s="714" t="s">
        <v>3330</v>
      </c>
      <c r="M31" s="1455"/>
      <c r="N31" s="1455"/>
      <c r="O31" s="797" t="s">
        <v>84</v>
      </c>
      <c r="P31" s="797"/>
      <c r="Q31" s="868"/>
    </row>
    <row r="32" spans="1:17" s="398" customFormat="1" ht="13.15" customHeight="1" thickBot="1">
      <c r="A32" s="458"/>
      <c r="B32" s="862" t="str">
        <f>IF(E32 ="&lt;&lt;Select applicable option&gt;&gt;", "Make a selection FIRST --&gt;",IF(E32 = "Neither","N/A","Mortgage A"))</f>
        <v>Mortgage A</v>
      </c>
      <c r="C32" s="863"/>
      <c r="D32" s="863"/>
      <c r="E32" s="1456" t="s">
        <v>3977</v>
      </c>
      <c r="F32" s="1457"/>
      <c r="G32" s="1458"/>
      <c r="H32" s="877">
        <f>IF($E$32="USDA 538 Loan", 'Part III B-USDA 538 Loan'!C5,IF($E$32="HUD Insured Loan", 'Part III C-HUD Insured Loan'!D5,0))</f>
        <v>7144800</v>
      </c>
      <c r="I32" s="878"/>
      <c r="J32" s="553">
        <f>IF($E$32="USDA 538 Loan",'Part III B-USDA 538 Loan'!C7,IF($E$32="HUD Insured Loan", 'Part III C-HUD Insured Loan'!D10,0))</f>
        <v>6.25E-2</v>
      </c>
      <c r="K32" s="554">
        <f>IF($E$32="USDA 538 Loan", 'Part III B-USDA 538 Loan'!C9,IF($E$32="HUD Insured Loan", 'Part III C-HUD Insured Loan'!D14,0))</f>
        <v>40</v>
      </c>
      <c r="L32" s="554">
        <f>IF($E$32="USDA 538 Loan", 'Part III B-USDA 538 Loan'!C10,IF($E$32="HUD Insured Loan", 'Part III C-HUD Insured Loan'!D16,0))</f>
        <v>40</v>
      </c>
      <c r="M32" s="851">
        <f>IF(OR(H32&lt;=0,H32=""),"",IF(O32="Amortizing",-PMT(J32/12,L32*12,H32,0,0)*12,IF(NOT(O32="Amortizing"),'Part VII-Pro Forma'!B23,"")))</f>
        <v>486766.28439441242</v>
      </c>
      <c r="N32" s="852"/>
      <c r="O32" s="840" t="s">
        <v>3016</v>
      </c>
      <c r="P32" s="841"/>
      <c r="Q32" s="1459" t="s">
        <v>2759</v>
      </c>
    </row>
    <row r="33" spans="1:19" s="398" customFormat="1" ht="13.15" customHeight="1">
      <c r="A33" s="458"/>
      <c r="B33" s="857" t="str">
        <f>IF(OR(E32 = "Neither",E32 = "&lt;&lt;Select applicable option&gt;&gt;"), "Mortgage A","Mortgage B")</f>
        <v>Mortgage B</v>
      </c>
      <c r="C33" s="858"/>
      <c r="D33" s="859"/>
      <c r="E33" s="1460"/>
      <c r="F33" s="1461"/>
      <c r="G33" s="1462"/>
      <c r="H33" s="1463"/>
      <c r="I33" s="1464"/>
      <c r="J33" s="1465"/>
      <c r="K33" s="1442"/>
      <c r="L33" s="1442"/>
      <c r="M33" s="1466" t="str">
        <f>IF(OR(H33&lt;=0,H33=""),"",IF(O33="Amortizing",-PMT(J33/12,L33*12,H33,0,0)*12,""))</f>
        <v/>
      </c>
      <c r="N33" s="1467"/>
      <c r="O33" s="1405"/>
      <c r="P33" s="1406"/>
      <c r="Q33" s="1468"/>
    </row>
    <row r="34" spans="1:19" s="398" customFormat="1" ht="13.15" customHeight="1">
      <c r="A34" s="458"/>
      <c r="B34" s="720" t="str">
        <f>IF(OR(E32 = "Neither",E32 = "&lt;&lt;Select applicable option&gt;&gt;"), "Mortgage B","Mortgage C")</f>
        <v>Mortgage C</v>
      </c>
      <c r="C34" s="721"/>
      <c r="D34" s="722"/>
      <c r="E34" s="1445"/>
      <c r="F34" s="1469"/>
      <c r="G34" s="1464"/>
      <c r="H34" s="1463"/>
      <c r="I34" s="1464"/>
      <c r="J34" s="1465"/>
      <c r="K34" s="1442"/>
      <c r="L34" s="1442"/>
      <c r="M34" s="1466" t="str">
        <f>IF(OR(H34&lt;=0,H34=""),"",IF(O34="Amortizing",-PMT(J34/12,L34*12,H34,0,0)*12,""))</f>
        <v/>
      </c>
      <c r="N34" s="1467"/>
      <c r="O34" s="1405"/>
      <c r="P34" s="1406"/>
      <c r="Q34" s="1468"/>
    </row>
    <row r="35" spans="1:19" s="398" customFormat="1" ht="13.15" customHeight="1">
      <c r="A35" s="458"/>
      <c r="B35" s="720" t="s">
        <v>1229</v>
      </c>
      <c r="C35" s="1405" t="s">
        <v>3978</v>
      </c>
      <c r="D35" s="1406"/>
      <c r="E35" s="1445" t="s">
        <v>3979</v>
      </c>
      <c r="F35" s="1469"/>
      <c r="G35" s="1464"/>
      <c r="H35" s="1463">
        <v>1500000</v>
      </c>
      <c r="I35" s="1464"/>
      <c r="J35" s="1465">
        <v>0.02</v>
      </c>
      <c r="K35" s="1442">
        <v>40</v>
      </c>
      <c r="L35" s="1442">
        <v>40</v>
      </c>
      <c r="M35" s="1466">
        <f>IF(OR(H35&lt;=0,H35=""),"",IF(O35="Amortizing",-PMT(J35/12,L35*12,H35,0,0)*12,""))</f>
        <v>54508.615045712293</v>
      </c>
      <c r="N35" s="1467"/>
      <c r="O35" s="1405" t="s">
        <v>3016</v>
      </c>
      <c r="P35" s="1406"/>
      <c r="Q35" s="1468"/>
    </row>
    <row r="36" spans="1:19" s="398" customFormat="1" ht="13.15" customHeight="1">
      <c r="A36" s="458"/>
      <c r="B36" s="720" t="s">
        <v>2084</v>
      </c>
      <c r="C36" s="721"/>
      <c r="D36" s="722"/>
      <c r="E36" s="1445"/>
      <c r="F36" s="1469"/>
      <c r="G36" s="1464"/>
      <c r="H36" s="1463"/>
      <c r="I36" s="1464"/>
      <c r="J36" s="1465"/>
      <c r="K36" s="1442"/>
      <c r="L36" s="1442"/>
      <c r="M36" s="1466" t="str">
        <f>IF(OR(H36&lt;=0,H36=""),"",IF(O36="Amortizing",-PMT(J36/12,L36*12,H36,0,0)*12,""))</f>
        <v/>
      </c>
      <c r="N36" s="1467"/>
      <c r="O36" s="1405"/>
      <c r="P36" s="1406"/>
      <c r="Q36" s="1468"/>
    </row>
    <row r="37" spans="1:19" s="398" customFormat="1" ht="13.15" customHeight="1">
      <c r="A37" s="458"/>
      <c r="B37" s="724" t="s">
        <v>292</v>
      </c>
      <c r="C37" s="725"/>
      <c r="D37" s="555">
        <f>IF(OR(H37="",H37=0,'Part IV-Uses of Funds'!$G$109="",'Part IV-Uses of Funds'!$G$109=0),"",H37/'Part IV-Uses of Funds'!$G$109)</f>
        <v>0.2404938888888889</v>
      </c>
      <c r="E37" s="1445"/>
      <c r="F37" s="1469"/>
      <c r="G37" s="1464"/>
      <c r="H37" s="1463">
        <v>432889</v>
      </c>
      <c r="I37" s="1464"/>
      <c r="J37" s="1465">
        <v>0</v>
      </c>
      <c r="K37" s="1442"/>
      <c r="L37" s="1442"/>
      <c r="M37" s="1466">
        <v>308118</v>
      </c>
      <c r="N37" s="1467"/>
      <c r="O37" s="1405" t="s">
        <v>1808</v>
      </c>
      <c r="P37" s="1406"/>
      <c r="Q37" s="1468">
        <v>1</v>
      </c>
    </row>
    <row r="38" spans="1:19" s="398" customFormat="1" ht="13.15" customHeight="1">
      <c r="A38" s="458"/>
      <c r="B38" s="862" t="s">
        <v>3331</v>
      </c>
      <c r="C38" s="863"/>
      <c r="D38" s="864"/>
      <c r="E38" s="1445"/>
      <c r="F38" s="1469"/>
      <c r="G38" s="1464"/>
      <c r="H38" s="1470"/>
      <c r="I38" s="1471"/>
      <c r="K38" s="556"/>
      <c r="L38" s="556"/>
      <c r="M38" s="556"/>
      <c r="N38" s="556"/>
      <c r="O38" s="556"/>
      <c r="P38" s="556"/>
      <c r="Q38" s="556"/>
      <c r="S38" s="648" t="s">
        <v>807</v>
      </c>
    </row>
    <row r="39" spans="1:19" s="398" customFormat="1" ht="13.15" customHeight="1">
      <c r="A39" s="458"/>
      <c r="B39" s="857" t="s">
        <v>1382</v>
      </c>
      <c r="C39" s="858"/>
      <c r="D39" s="859"/>
      <c r="E39" s="1445"/>
      <c r="F39" s="1469"/>
      <c r="G39" s="1464"/>
      <c r="H39" s="1470"/>
      <c r="I39" s="1471"/>
      <c r="J39" s="869" t="s">
        <v>808</v>
      </c>
      <c r="K39" s="870"/>
      <c r="L39" s="652" t="s">
        <v>809</v>
      </c>
      <c r="M39" s="557"/>
      <c r="N39" s="557"/>
      <c r="O39" s="557"/>
      <c r="P39" s="557"/>
      <c r="Q39" s="556"/>
      <c r="S39" s="649" t="s">
        <v>3863</v>
      </c>
    </row>
    <row r="40" spans="1:19" s="398" customFormat="1" ht="13.15" customHeight="1">
      <c r="A40" s="458"/>
      <c r="B40" s="857" t="s">
        <v>1383</v>
      </c>
      <c r="C40" s="858"/>
      <c r="D40" s="859"/>
      <c r="E40" s="1445" t="s">
        <v>3980</v>
      </c>
      <c r="F40" s="1446"/>
      <c r="G40" s="1447"/>
      <c r="H40" s="1463">
        <v>11686331</v>
      </c>
      <c r="I40" s="1472"/>
      <c r="J40" s="871">
        <f>'Part IV-Uses of Funds'!$J$165*10*'Part IV-Uses of Funds'!$N$158</f>
        <v>8075000</v>
      </c>
      <c r="K40" s="872"/>
      <c r="L40" s="653">
        <f>H40-J40</f>
        <v>3611331</v>
      </c>
      <c r="M40" s="805" t="s">
        <v>2536</v>
      </c>
      <c r="N40" s="873"/>
      <c r="O40" s="873"/>
      <c r="P40" s="873"/>
      <c r="Q40" s="874"/>
      <c r="S40" s="650">
        <f>H40/H50</f>
        <v>0.42240050863012157</v>
      </c>
    </row>
    <row r="41" spans="1:19" s="398" customFormat="1" ht="13.15" customHeight="1">
      <c r="A41" s="458"/>
      <c r="B41" s="857" t="s">
        <v>1384</v>
      </c>
      <c r="C41" s="858"/>
      <c r="D41" s="859"/>
      <c r="E41" s="1445" t="s">
        <v>3980</v>
      </c>
      <c r="F41" s="1446"/>
      <c r="G41" s="1447"/>
      <c r="H41" s="1463">
        <v>3437156</v>
      </c>
      <c r="I41" s="1472"/>
      <c r="J41" s="871">
        <f>'Part IV-Uses of Funds'!$J$165*10*'Part IV-Uses of Funds'!$Q$158</f>
        <v>2375000</v>
      </c>
      <c r="K41" s="872"/>
      <c r="L41" s="653">
        <f>H41-J41</f>
        <v>1062156</v>
      </c>
      <c r="M41" s="875"/>
      <c r="N41" s="868"/>
      <c r="O41" s="868"/>
      <c r="P41" s="868"/>
      <c r="Q41" s="876"/>
      <c r="S41" s="650">
        <f>H41/H50</f>
        <v>0.1242354373362413</v>
      </c>
    </row>
    <row r="42" spans="1:19" s="398" customFormat="1" ht="13.15" customHeight="1">
      <c r="A42" s="458"/>
      <c r="B42" s="857" t="s">
        <v>2119</v>
      </c>
      <c r="C42" s="858"/>
      <c r="D42" s="859"/>
      <c r="E42" s="1445" t="s">
        <v>3980</v>
      </c>
      <c r="F42" s="1446"/>
      <c r="G42" s="1447"/>
      <c r="H42" s="1463">
        <v>2878962</v>
      </c>
      <c r="I42" s="1472"/>
      <c r="M42" s="558" t="s">
        <v>3020</v>
      </c>
      <c r="N42" s="559" t="s">
        <v>3021</v>
      </c>
      <c r="O42" s="558">
        <v>8</v>
      </c>
      <c r="P42" s="558">
        <v>9</v>
      </c>
      <c r="Q42" s="558">
        <v>10</v>
      </c>
      <c r="S42" s="651">
        <f>SUM(S40:S41)</f>
        <v>0.54663594596636289</v>
      </c>
    </row>
    <row r="43" spans="1:19" s="398" customFormat="1" ht="13.15" customHeight="1">
      <c r="A43" s="458"/>
      <c r="B43" s="720" t="s">
        <v>823</v>
      </c>
      <c r="C43" s="721"/>
      <c r="D43" s="722"/>
      <c r="E43" s="1445"/>
      <c r="F43" s="1446"/>
      <c r="G43" s="1447"/>
      <c r="H43" s="1463"/>
      <c r="I43" s="1472"/>
      <c r="K43" s="458"/>
      <c r="L43" s="458"/>
      <c r="M43" s="558" t="s">
        <v>3022</v>
      </c>
      <c r="N43" s="1465"/>
      <c r="O43" s="1465"/>
      <c r="P43" s="1465"/>
      <c r="Q43" s="1465"/>
      <c r="S43" s="458"/>
    </row>
    <row r="44" spans="1:19" s="398" customFormat="1" ht="13.15" customHeight="1">
      <c r="A44" s="458"/>
      <c r="B44" s="720" t="s">
        <v>2923</v>
      </c>
      <c r="C44" s="721"/>
      <c r="D44" s="722"/>
      <c r="E44" s="1445"/>
      <c r="F44" s="1446"/>
      <c r="G44" s="1447"/>
      <c r="H44" s="1463"/>
      <c r="I44" s="1472"/>
      <c r="J44" s="458"/>
      <c r="M44" s="560">
        <v>11</v>
      </c>
      <c r="N44" s="560">
        <v>12</v>
      </c>
      <c r="O44" s="717">
        <v>13</v>
      </c>
      <c r="P44" s="558">
        <v>14</v>
      </c>
      <c r="Q44" s="558">
        <v>15</v>
      </c>
    </row>
    <row r="45" spans="1:19" s="398" customFormat="1" ht="13.15" customHeight="1">
      <c r="A45" s="458"/>
      <c r="B45" s="720" t="s">
        <v>2924</v>
      </c>
      <c r="C45" s="721"/>
      <c r="D45" s="722"/>
      <c r="E45" s="1445"/>
      <c r="F45" s="1446"/>
      <c r="G45" s="1447"/>
      <c r="H45" s="1463">
        <v>586332</v>
      </c>
      <c r="I45" s="1472"/>
      <c r="J45" s="458"/>
      <c r="M45" s="1465"/>
      <c r="N45" s="1465"/>
      <c r="O45" s="1465"/>
      <c r="P45" s="1465"/>
      <c r="Q45" s="1465"/>
    </row>
    <row r="46" spans="1:19" s="398" customFormat="1" ht="13.15" customHeight="1">
      <c r="A46" s="458"/>
      <c r="B46" s="720" t="s">
        <v>1229</v>
      </c>
      <c r="C46" s="1445"/>
      <c r="D46" s="1447"/>
      <c r="E46" s="1445"/>
      <c r="F46" s="1446"/>
      <c r="G46" s="1447"/>
      <c r="H46" s="1463"/>
      <c r="I46" s="1472"/>
      <c r="J46" s="458"/>
      <c r="M46" s="558">
        <v>16</v>
      </c>
      <c r="N46" s="558">
        <v>17</v>
      </c>
      <c r="O46" s="558">
        <v>18</v>
      </c>
      <c r="P46" s="723">
        <v>19</v>
      </c>
      <c r="Q46" s="723">
        <v>20</v>
      </c>
    </row>
    <row r="47" spans="1:19" s="398" customFormat="1" ht="13.15" customHeight="1">
      <c r="A47" s="458"/>
      <c r="B47" s="720" t="s">
        <v>1229</v>
      </c>
      <c r="C47" s="1445"/>
      <c r="D47" s="1447"/>
      <c r="E47" s="1445"/>
      <c r="F47" s="1446"/>
      <c r="G47" s="1447"/>
      <c r="H47" s="1463"/>
      <c r="I47" s="1472"/>
      <c r="J47" s="458"/>
      <c r="K47" s="458"/>
      <c r="L47" s="558"/>
      <c r="M47" s="1465"/>
      <c r="N47" s="1465"/>
      <c r="O47" s="1465"/>
      <c r="P47" s="1465"/>
      <c r="Q47" s="1465"/>
    </row>
    <row r="48" spans="1:19" s="398" customFormat="1" ht="13.15" customHeight="1">
      <c r="A48" s="458"/>
      <c r="B48" s="724" t="s">
        <v>1229</v>
      </c>
      <c r="C48" s="1445"/>
      <c r="D48" s="1447"/>
      <c r="E48" s="1445"/>
      <c r="F48" s="1446"/>
      <c r="G48" s="1447"/>
      <c r="H48" s="1463"/>
      <c r="I48" s="1472"/>
      <c r="J48" s="458"/>
      <c r="K48" s="458"/>
      <c r="L48" s="558"/>
      <c r="M48" s="723">
        <v>21</v>
      </c>
      <c r="N48" s="723">
        <v>22</v>
      </c>
      <c r="O48" s="723">
        <v>23</v>
      </c>
      <c r="P48" s="723">
        <v>24</v>
      </c>
      <c r="Q48" s="723">
        <v>25</v>
      </c>
    </row>
    <row r="49" spans="1:17" s="398" customFormat="1" ht="13.15" customHeight="1">
      <c r="A49" s="458"/>
      <c r="B49" s="713" t="s">
        <v>3332</v>
      </c>
      <c r="C49" s="458"/>
      <c r="D49" s="458"/>
      <c r="E49" s="458"/>
      <c r="F49" s="458"/>
      <c r="G49" s="458"/>
      <c r="H49" s="844">
        <f>SUM(H32:I48)</f>
        <v>27666470</v>
      </c>
      <c r="I49" s="845"/>
      <c r="J49" s="482"/>
      <c r="K49" s="458"/>
      <c r="L49" s="558"/>
      <c r="M49" s="1465"/>
      <c r="N49" s="1465"/>
      <c r="O49" s="1465"/>
      <c r="P49" s="1465"/>
      <c r="Q49" s="1465"/>
    </row>
    <row r="50" spans="1:17" s="398" customFormat="1" ht="13.15" customHeight="1" thickBot="1">
      <c r="A50" s="458"/>
      <c r="B50" s="713" t="s">
        <v>3333</v>
      </c>
      <c r="C50" s="458"/>
      <c r="D50" s="458"/>
      <c r="E50" s="458"/>
      <c r="F50" s="458"/>
      <c r="G50" s="458"/>
      <c r="H50" s="842">
        <f>'Part IV-Uses of Funds'!$G$123</f>
        <v>27666470</v>
      </c>
      <c r="I50" s="843"/>
      <c r="J50" s="482"/>
      <c r="K50" s="458"/>
      <c r="L50" s="558"/>
      <c r="M50" s="723">
        <v>26</v>
      </c>
      <c r="N50" s="723">
        <v>27</v>
      </c>
      <c r="O50" s="723">
        <v>28</v>
      </c>
      <c r="P50" s="723">
        <v>29</v>
      </c>
      <c r="Q50" s="723">
        <v>30</v>
      </c>
    </row>
    <row r="51" spans="1:17" s="398" customFormat="1" ht="13.15" customHeight="1" thickBot="1">
      <c r="A51" s="458"/>
      <c r="B51" s="464" t="s">
        <v>2275</v>
      </c>
      <c r="C51" s="458"/>
      <c r="D51" s="458"/>
      <c r="E51" s="458"/>
      <c r="F51" s="458"/>
      <c r="G51" s="458"/>
      <c r="H51" s="860">
        <f>H49-H50</f>
        <v>0</v>
      </c>
      <c r="I51" s="861"/>
      <c r="J51" s="482"/>
      <c r="K51" s="458"/>
      <c r="L51" s="558"/>
      <c r="M51" s="1465"/>
      <c r="N51" s="1465"/>
      <c r="O51" s="1465"/>
      <c r="P51" s="1465"/>
      <c r="Q51" s="1465"/>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878</v>
      </c>
      <c r="C53" s="482"/>
      <c r="D53" s="482"/>
      <c r="E53" s="482"/>
      <c r="F53" s="482"/>
      <c r="G53" s="482"/>
      <c r="H53" s="482"/>
      <c r="I53" s="482"/>
      <c r="J53" s="482"/>
      <c r="K53" s="461" t="s">
        <v>2822</v>
      </c>
      <c r="L53" s="461" t="s">
        <v>89</v>
      </c>
      <c r="M53" s="482"/>
      <c r="N53" s="482"/>
      <c r="O53" s="482"/>
      <c r="P53" s="482"/>
      <c r="Q53" s="482"/>
    </row>
    <row r="54" spans="1:17" ht="5.45" customHeight="1">
      <c r="B54" s="519"/>
    </row>
    <row r="55" spans="1:17" ht="51" customHeight="1">
      <c r="A55" s="1291"/>
      <c r="B55" s="1256"/>
      <c r="C55" s="1256"/>
      <c r="D55" s="1256"/>
      <c r="E55" s="1256"/>
      <c r="F55" s="1256"/>
      <c r="G55" s="1256"/>
      <c r="H55" s="1256"/>
      <c r="I55" s="1256"/>
      <c r="J55" s="1257"/>
      <c r="K55" s="1294"/>
      <c r="L55" s="1256"/>
      <c r="M55" s="1256"/>
      <c r="N55" s="1256"/>
      <c r="O55" s="1256"/>
      <c r="P55" s="1256"/>
      <c r="Q55" s="1257"/>
    </row>
    <row r="56" spans="1:17" ht="51" customHeight="1">
      <c r="A56" s="1295"/>
      <c r="B56" s="1473"/>
      <c r="C56" s="1473"/>
      <c r="D56" s="1473"/>
      <c r="E56" s="1473"/>
      <c r="F56" s="1473"/>
      <c r="G56" s="1473"/>
      <c r="H56" s="1473"/>
      <c r="I56" s="1473"/>
      <c r="J56" s="1474"/>
      <c r="K56" s="1298"/>
      <c r="L56" s="1473"/>
      <c r="M56" s="1473"/>
      <c r="N56" s="1473"/>
      <c r="O56" s="1473"/>
      <c r="P56" s="1473"/>
      <c r="Q56" s="1474"/>
    </row>
    <row r="57" spans="1:17" s="398" customFormat="1" ht="51" customHeight="1">
      <c r="A57" s="1295"/>
      <c r="B57" s="1473"/>
      <c r="C57" s="1473"/>
      <c r="D57" s="1473"/>
      <c r="E57" s="1473"/>
      <c r="F57" s="1473"/>
      <c r="G57" s="1473"/>
      <c r="H57" s="1473"/>
      <c r="I57" s="1473"/>
      <c r="J57" s="1474"/>
      <c r="K57" s="1298"/>
      <c r="L57" s="1473"/>
      <c r="M57" s="1473"/>
      <c r="N57" s="1473"/>
      <c r="O57" s="1473"/>
      <c r="P57" s="1473"/>
      <c r="Q57" s="1474"/>
    </row>
    <row r="58" spans="1:17" ht="51" customHeight="1">
      <c r="A58" s="1299"/>
      <c r="B58" s="1267"/>
      <c r="C58" s="1267"/>
      <c r="D58" s="1267"/>
      <c r="E58" s="1267"/>
      <c r="F58" s="1267"/>
      <c r="G58" s="1267"/>
      <c r="H58" s="1267"/>
      <c r="I58" s="1267"/>
      <c r="J58" s="1268"/>
      <c r="K58" s="1302"/>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4" sqref="D24:E24"/>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2011-015 Briarcliff Summit Apartments , Atlanta, Fulton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3384</v>
      </c>
      <c r="B5" s="42"/>
      <c r="C5" s="1439"/>
      <c r="D5" s="374">
        <f>IF(C5&gt;1500000,1500000,0)</f>
        <v>0</v>
      </c>
      <c r="E5" s="375">
        <f>IF(C5&gt;1500000,C5-1500000,0)</f>
        <v>0</v>
      </c>
    </row>
    <row r="6" spans="1:17">
      <c r="A6" s="42" t="s">
        <v>3734</v>
      </c>
      <c r="B6" s="300" t="s">
        <v>744</v>
      </c>
      <c r="C6" s="376">
        <v>0</v>
      </c>
      <c r="D6" s="160" t="s">
        <v>745</v>
      </c>
      <c r="E6" s="42"/>
    </row>
    <row r="7" spans="1:17">
      <c r="A7" s="42"/>
      <c r="B7" s="300" t="s">
        <v>3750</v>
      </c>
      <c r="C7" s="1440"/>
      <c r="D7" s="160" t="s">
        <v>2658</v>
      </c>
      <c r="E7" s="42"/>
    </row>
    <row r="8" spans="1:17" ht="13.15" customHeight="1">
      <c r="A8" s="42" t="s">
        <v>3738</v>
      </c>
      <c r="B8" s="42"/>
      <c r="C8" s="376">
        <v>0</v>
      </c>
      <c r="D8" s="160" t="s">
        <v>2659</v>
      </c>
      <c r="E8" s="42"/>
    </row>
    <row r="9" spans="1:17">
      <c r="A9" s="42" t="s">
        <v>2092</v>
      </c>
      <c r="B9" s="42"/>
      <c r="C9" s="1441"/>
      <c r="D9" s="42"/>
      <c r="E9" s="42"/>
    </row>
    <row r="10" spans="1:17">
      <c r="A10" s="42" t="s">
        <v>2093</v>
      </c>
      <c r="B10" s="42"/>
      <c r="C10" s="1441"/>
      <c r="D10" s="42"/>
      <c r="E10" s="42"/>
    </row>
    <row r="11" spans="1:17">
      <c r="A11" s="42" t="s">
        <v>2090</v>
      </c>
      <c r="B11" s="42"/>
      <c r="C11" s="377" t="e">
        <f>PMT(C7/12,C10*12,-C5,0,0)*12</f>
        <v>#DIV/0!</v>
      </c>
      <c r="D11" s="374" t="e">
        <f>PMT($C$7/12,$C$10*12,-D5,0,0)*12</f>
        <v>#DIV/0!</v>
      </c>
      <c r="E11" s="374" t="e">
        <f>PMT($C$7/12,$C$10*12,-E5,0,0)*12</f>
        <v>#DIV/0!</v>
      </c>
    </row>
    <row r="12" spans="1:17">
      <c r="A12" s="42" t="s">
        <v>2091</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3752</v>
      </c>
      <c r="B16" s="731" t="s">
        <v>3748</v>
      </c>
      <c r="C16" s="731" t="s">
        <v>3749</v>
      </c>
      <c r="D16" s="885" t="s">
        <v>3383</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2011-015 Briarcliff Summit Apartments , Atlanta, Fulton County</v>
      </c>
      <c r="B58" s="886"/>
      <c r="C58" s="886"/>
      <c r="D58" s="886"/>
      <c r="E58" s="886"/>
      <c r="F58" s="886"/>
      <c r="G58" s="886" t="str">
        <f>CONCATENATE('Part I-Project Information'!$O$4," ",'Part I-Project Information'!$F$22,", ",'Part I-Project Information'!$F$24,", ",'Part I-Project Information'!$J$25," County")</f>
        <v>2011-015 Briarcliff Summit Apartments , Atlanta, Fulton County</v>
      </c>
      <c r="H58" s="886"/>
      <c r="I58" s="886"/>
      <c r="J58" s="886"/>
      <c r="K58" s="886"/>
      <c r="L58" s="886"/>
    </row>
    <row r="59" spans="1:12" ht="15">
      <c r="A59" s="887" t="s">
        <v>3742</v>
      </c>
      <c r="B59" s="887"/>
      <c r="C59" s="887"/>
      <c r="D59" s="887"/>
      <c r="E59" s="887"/>
      <c r="F59" s="887"/>
      <c r="G59" s="887" t="s">
        <v>3742</v>
      </c>
      <c r="H59" s="887"/>
      <c r="I59" s="887"/>
      <c r="J59" s="887"/>
      <c r="K59" s="887"/>
      <c r="L59" s="887"/>
    </row>
    <row r="60" spans="1:12" ht="6" customHeight="1">
      <c r="C60" s="273"/>
      <c r="D60" s="273"/>
      <c r="I60" s="273"/>
      <c r="J60" s="273"/>
    </row>
    <row r="61" spans="1:12">
      <c r="A61" s="276" t="s">
        <v>3743</v>
      </c>
      <c r="B61" s="277" t="s">
        <v>3744</v>
      </c>
      <c r="C61" s="277" t="s">
        <v>1993</v>
      </c>
      <c r="D61" s="277" t="s">
        <v>3745</v>
      </c>
      <c r="E61" s="276" t="s">
        <v>3746</v>
      </c>
      <c r="F61" s="307" t="s">
        <v>3752</v>
      </c>
      <c r="G61" s="276" t="s">
        <v>3743</v>
      </c>
      <c r="H61" s="277" t="s">
        <v>3744</v>
      </c>
      <c r="I61" s="277" t="s">
        <v>1993</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A24" sqref="A24:F24"/>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2011-015 Briarcliff Summit Apartments , Atlanta, Fulton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3384</v>
      </c>
      <c r="D5" s="1435">
        <v>7144800</v>
      </c>
      <c r="E5" s="891" t="s">
        <v>1551</v>
      </c>
      <c r="F5" s="892"/>
      <c r="G5" s="219"/>
    </row>
    <row r="6" spans="1:17">
      <c r="E6" s="892"/>
      <c r="F6" s="892"/>
      <c r="G6" s="219"/>
    </row>
    <row r="7" spans="1:17">
      <c r="A7" s="31" t="s">
        <v>3734</v>
      </c>
      <c r="C7" s="31" t="s">
        <v>3735</v>
      </c>
      <c r="D7" s="1436">
        <v>0.06</v>
      </c>
      <c r="E7" s="892"/>
      <c r="F7" s="892"/>
      <c r="G7" s="219"/>
    </row>
    <row r="8" spans="1:17">
      <c r="C8" s="31" t="s">
        <v>3736</v>
      </c>
      <c r="D8" s="1436">
        <v>1.1999999999999999E-3</v>
      </c>
      <c r="E8" s="892"/>
      <c r="F8" s="892"/>
      <c r="G8" s="219"/>
    </row>
    <row r="9" spans="1:17">
      <c r="C9" s="31" t="s">
        <v>3737</v>
      </c>
      <c r="D9" s="1436">
        <v>1.2999999999999999E-3</v>
      </c>
      <c r="E9" s="892"/>
      <c r="F9" s="892"/>
      <c r="G9" s="219"/>
    </row>
    <row r="10" spans="1:17">
      <c r="C10" s="31" t="s">
        <v>3750</v>
      </c>
      <c r="D10" s="318">
        <f>D7+D8+D9</f>
        <v>6.25E-2</v>
      </c>
      <c r="E10" s="892"/>
      <c r="F10" s="892"/>
      <c r="G10" s="219"/>
    </row>
    <row r="11" spans="1:17">
      <c r="F11" s="219"/>
      <c r="G11" s="219"/>
    </row>
    <row r="12" spans="1:17">
      <c r="A12" s="31" t="s">
        <v>2740</v>
      </c>
      <c r="D12" s="1437">
        <v>4.4999999999999997E-3</v>
      </c>
      <c r="E12" s="31" t="s">
        <v>3229</v>
      </c>
      <c r="F12" s="219"/>
      <c r="G12" s="219"/>
    </row>
    <row r="13" spans="1:17">
      <c r="D13" s="273"/>
      <c r="F13" s="219"/>
      <c r="G13" s="219"/>
    </row>
    <row r="14" spans="1:17">
      <c r="A14" s="31" t="s">
        <v>3739</v>
      </c>
      <c r="D14" s="1438">
        <v>40</v>
      </c>
      <c r="E14" s="31" t="s">
        <v>3740</v>
      </c>
      <c r="F14" s="319"/>
    </row>
    <row r="15" spans="1:17">
      <c r="D15" s="292"/>
      <c r="F15" s="319"/>
    </row>
    <row r="16" spans="1:17">
      <c r="A16" s="31" t="s">
        <v>3741</v>
      </c>
      <c r="D16" s="1438">
        <v>40</v>
      </c>
      <c r="E16" s="31" t="s">
        <v>3740</v>
      </c>
      <c r="F16" s="319"/>
    </row>
    <row r="17" spans="1:10">
      <c r="D17" s="273"/>
      <c r="F17" s="319"/>
    </row>
    <row r="18" spans="1:10">
      <c r="A18" s="31" t="s">
        <v>1524</v>
      </c>
      <c r="D18" s="320">
        <f>PMT(D10/12,D16*12,-D5,0,0)*12</f>
        <v>486766.28439441242</v>
      </c>
      <c r="E18" s="31" t="s">
        <v>2244</v>
      </c>
      <c r="F18" s="319"/>
    </row>
    <row r="19" spans="1:10">
      <c r="D19" s="273"/>
      <c r="F19" s="319"/>
    </row>
    <row r="20" spans="1:10">
      <c r="A20" s="31" t="s">
        <v>2245</v>
      </c>
      <c r="D20" s="273">
        <f>D18/12</f>
        <v>40563.857032867701</v>
      </c>
      <c r="E20" s="31" t="s">
        <v>2244</v>
      </c>
      <c r="F20" s="319"/>
    </row>
    <row r="24" spans="1:10" ht="18" customHeight="1">
      <c r="A24" s="889" t="s">
        <v>2741</v>
      </c>
      <c r="B24" s="889"/>
      <c r="C24" s="889"/>
      <c r="D24" s="889"/>
      <c r="E24" s="889"/>
      <c r="F24" s="889"/>
      <c r="J24" s="321"/>
    </row>
    <row r="25" spans="1:10">
      <c r="C25" s="273"/>
      <c r="J25" s="321"/>
    </row>
    <row r="26" spans="1:10">
      <c r="A26" s="141"/>
      <c r="B26" s="111"/>
      <c r="C26" s="893" t="s">
        <v>3383</v>
      </c>
      <c r="D26" s="316"/>
      <c r="E26" s="111"/>
      <c r="F26" s="893" t="s">
        <v>3383</v>
      </c>
      <c r="J26" s="321"/>
    </row>
    <row r="27" spans="1:10">
      <c r="A27" s="322" t="s">
        <v>3752</v>
      </c>
      <c r="B27" s="736" t="s">
        <v>1645</v>
      </c>
      <c r="C27" s="894"/>
      <c r="D27" s="323" t="s">
        <v>3752</v>
      </c>
      <c r="E27" s="736" t="s">
        <v>1645</v>
      </c>
      <c r="F27" s="894"/>
      <c r="J27" s="321"/>
    </row>
    <row r="28" spans="1:10">
      <c r="A28" s="324">
        <v>1</v>
      </c>
      <c r="B28" s="369">
        <f>IF(A28&gt;D14,0,E55*$D$12)</f>
        <v>32151.599999999999</v>
      </c>
      <c r="C28" s="369">
        <f>IF(A28&gt;$D$14,0,$D$18+B28)</f>
        <v>518917.88439441239</v>
      </c>
      <c r="D28" s="325">
        <v>21</v>
      </c>
      <c r="E28" s="369">
        <f>IF(D28&gt;$D$14,0,E295*$D$12)</f>
        <v>24973.363464994763</v>
      </c>
      <c r="F28" s="369">
        <f>IF(D28&gt;$D$14,0,$D$18+E28)</f>
        <v>511739.64785940718</v>
      </c>
      <c r="J28" s="321"/>
    </row>
    <row r="29" spans="1:10">
      <c r="A29" s="324">
        <v>2</v>
      </c>
      <c r="B29" s="370">
        <f>IF(A29&gt;D14,0,E67*$D$12)</f>
        <v>31965.351523993901</v>
      </c>
      <c r="C29" s="369">
        <f t="shared" ref="C29:C47" si="0">IF(A29&gt;$D$14,0,$D$18+B29)</f>
        <v>518731.6359184063</v>
      </c>
      <c r="D29" s="325">
        <v>22</v>
      </c>
      <c r="E29" s="369">
        <f>IF(D29&gt;$D$14,0,E307*$D$12)</f>
        <v>24325.397789383529</v>
      </c>
      <c r="F29" s="369">
        <f t="shared" ref="F29:F47" si="1">IF(D29&gt;$D$14,0,$D$18+E29)</f>
        <v>511091.68218379596</v>
      </c>
      <c r="J29" s="321"/>
    </row>
    <row r="30" spans="1:10">
      <c r="A30" s="324">
        <v>3</v>
      </c>
      <c r="B30" s="369">
        <f>IF(A30&gt;D14,0,E79*$D$12)</f>
        <v>31767.123208043424</v>
      </c>
      <c r="C30" s="369">
        <f t="shared" si="0"/>
        <v>518533.40760245582</v>
      </c>
      <c r="D30" s="325">
        <v>23</v>
      </c>
      <c r="E30" s="369">
        <f>IF(D30&gt;$D$14,0,E319*$D$12)</f>
        <v>23635.753785714358</v>
      </c>
      <c r="F30" s="369">
        <f t="shared" si="1"/>
        <v>510402.03818012675</v>
      </c>
      <c r="J30" s="321"/>
    </row>
    <row r="31" spans="1:10">
      <c r="A31" s="324">
        <v>4</v>
      </c>
      <c r="B31" s="369">
        <f>IF(A31&gt;D14,0,E91*$D$12)</f>
        <v>31556.144487104651</v>
      </c>
      <c r="C31" s="369">
        <f t="shared" si="0"/>
        <v>518322.42888151709</v>
      </c>
      <c r="D31" s="325">
        <v>24</v>
      </c>
      <c r="E31" s="369">
        <f>IF(D31&gt;$D$14,0,E331*$D$12)</f>
        <v>22901.750628296792</v>
      </c>
      <c r="F31" s="369">
        <f t="shared" si="1"/>
        <v>509668.03502270923</v>
      </c>
      <c r="J31" s="321"/>
    </row>
    <row r="32" spans="1:10">
      <c r="A32" s="324">
        <v>5</v>
      </c>
      <c r="B32" s="369">
        <f>IF(A32&gt;D14,0,E103*$D$12)</f>
        <v>31331.595231991763</v>
      </c>
      <c r="C32" s="371">
        <f t="shared" si="0"/>
        <v>518097.8796264042</v>
      </c>
      <c r="D32" s="325">
        <v>25</v>
      </c>
      <c r="E32" s="369">
        <f>IF(D32&gt;$D$14,0,E343*$D$12)</f>
        <v>22120.535055867338</v>
      </c>
      <c r="F32" s="371">
        <f t="shared" si="1"/>
        <v>508886.81945027976</v>
      </c>
      <c r="J32" s="321"/>
    </row>
    <row r="33" spans="1:10">
      <c r="A33" s="326">
        <v>6</v>
      </c>
      <c r="B33" s="372">
        <f>IF(A33&gt;D14,0,E115*$D$12)</f>
        <v>31092.60256132151</v>
      </c>
      <c r="C33" s="369">
        <f t="shared" si="0"/>
        <v>517858.88695573393</v>
      </c>
      <c r="D33" s="327">
        <v>26</v>
      </c>
      <c r="E33" s="372">
        <f>IF(D33&gt;$D$14,0,E355*$D$12)</f>
        <v>21289.07028022048</v>
      </c>
      <c r="F33" s="369">
        <f t="shared" si="1"/>
        <v>508055.35467463289</v>
      </c>
      <c r="J33" s="321"/>
    </row>
    <row r="34" spans="1:10">
      <c r="A34" s="328">
        <v>7</v>
      </c>
      <c r="B34" s="373">
        <f>IF(A34&gt;D14,0,E127*$D$12)</f>
        <v>30838.237448396132</v>
      </c>
      <c r="C34" s="369">
        <f t="shared" si="0"/>
        <v>517604.52184280858</v>
      </c>
      <c r="D34" s="325">
        <v>27</v>
      </c>
      <c r="E34" s="373">
        <f>IF(D34&gt;$D$14,0,E367*$D$12)</f>
        <v>20404.124181422761</v>
      </c>
      <c r="F34" s="369">
        <f t="shared" si="1"/>
        <v>507170.40857583517</v>
      </c>
      <c r="J34" s="321"/>
    </row>
    <row r="35" spans="1:10">
      <c r="A35" s="328">
        <v>8</v>
      </c>
      <c r="B35" s="373">
        <f>IF(A35&gt;D14,0,E139*$D$12)</f>
        <v>30567.511109834843</v>
      </c>
      <c r="C35" s="369">
        <f t="shared" si="0"/>
        <v>517333.79550424725</v>
      </c>
      <c r="D35" s="325">
        <v>28</v>
      </c>
      <c r="E35" s="373">
        <f>IF(D35&gt;$D$14,0,E379*$D$12)</f>
        <v>19462.256743721562</v>
      </c>
      <c r="F35" s="369">
        <f t="shared" si="1"/>
        <v>506228.54113813397</v>
      </c>
      <c r="J35" s="321"/>
    </row>
    <row r="36" spans="1:10">
      <c r="A36" s="328">
        <v>9</v>
      </c>
      <c r="B36" s="373">
        <f>IF(A36&gt;D14,0,E151*$D$12)</f>
        <v>30279.371161915562</v>
      </c>
      <c r="C36" s="369">
        <f t="shared" si="0"/>
        <v>517045.65555632795</v>
      </c>
      <c r="D36" s="325">
        <v>29</v>
      </c>
      <c r="E36" s="373">
        <f>IF(D36&gt;$D$14,0,E391*$D$12)</f>
        <v>18459.806683308787</v>
      </c>
      <c r="F36" s="369">
        <f t="shared" si="1"/>
        <v>505226.09107772121</v>
      </c>
      <c r="J36" s="321"/>
    </row>
    <row r="37" spans="1:10">
      <c r="A37" s="329">
        <v>10</v>
      </c>
      <c r="B37" s="371">
        <f>IF(A37&gt;D14,0,E163*$D$12)</f>
        <v>29972.697529685527</v>
      </c>
      <c r="C37" s="371">
        <f t="shared" si="0"/>
        <v>516738.98192409793</v>
      </c>
      <c r="D37" s="330">
        <v>30</v>
      </c>
      <c r="E37" s="371">
        <f>IF(D37&gt;$D$14,0,E403*$D$12)</f>
        <v>17392.877215958011</v>
      </c>
      <c r="F37" s="371">
        <f t="shared" si="1"/>
        <v>504159.16161037044</v>
      </c>
      <c r="J37" s="321"/>
    </row>
    <row r="38" spans="1:10">
      <c r="A38" s="331">
        <v>11</v>
      </c>
      <c r="B38" s="369">
        <f>IF(A38&gt;D14,0,E175*$D$12)</f>
        <v>29646.298092938534</v>
      </c>
      <c r="C38" s="369">
        <f t="shared" si="0"/>
        <v>516412.58248735097</v>
      </c>
      <c r="D38" s="325">
        <v>31</v>
      </c>
      <c r="E38" s="369">
        <f>IF(D38&gt;$D$14,0,E415*$D$12)</f>
        <v>16257.320909210255</v>
      </c>
      <c r="F38" s="369">
        <f t="shared" si="1"/>
        <v>503023.60530362267</v>
      </c>
      <c r="J38" s="321"/>
    </row>
    <row r="39" spans="1:10">
      <c r="A39" s="331">
        <v>12</v>
      </c>
      <c r="B39" s="369">
        <f>IF(A39&gt;D14,0,E187*$D$12)</f>
        <v>29298.904052133483</v>
      </c>
      <c r="C39" s="369">
        <f t="shared" si="0"/>
        <v>516065.18844654592</v>
      </c>
      <c r="D39" s="325">
        <v>32</v>
      </c>
      <c r="E39" s="369">
        <f>IF(D39&gt;$D$14,0,E427*$D$12)</f>
        <v>15048.7235602248</v>
      </c>
      <c r="F39" s="369">
        <f t="shared" si="1"/>
        <v>501815.00795463723</v>
      </c>
      <c r="J39" s="321"/>
    </row>
    <row r="40" spans="1:10">
      <c r="A40" s="331">
        <v>13</v>
      </c>
      <c r="B40" s="369">
        <f>IF(A40&gt;D14,0,E199*$D$12)</f>
        <v>28929.164996240426</v>
      </c>
      <c r="C40" s="369">
        <f t="shared" si="0"/>
        <v>515695.44939065282</v>
      </c>
      <c r="D40" s="325">
        <v>33</v>
      </c>
      <c r="E40" s="369">
        <f>IF(D40&gt;$D$14,0,E439*$D$12)</f>
        <v>13762.387036624174</v>
      </c>
      <c r="F40" s="369">
        <f t="shared" si="1"/>
        <v>500528.67143103661</v>
      </c>
      <c r="J40" s="321"/>
    </row>
    <row r="41" spans="1:10">
      <c r="A41" s="331">
        <v>14</v>
      </c>
      <c r="B41" s="369">
        <f>IF(A41&gt;D14,0,E211*$D$12)</f>
        <v>28535.643653341493</v>
      </c>
      <c r="C41" s="369">
        <f t="shared" si="0"/>
        <v>515301.92804775393</v>
      </c>
      <c r="D41" s="325">
        <v>34</v>
      </c>
      <c r="E41" s="369">
        <f>IF(D41&gt;$D$14,0,E451*$D$12)</f>
        <v>12393.311013631128</v>
      </c>
      <c r="F41" s="369">
        <f t="shared" si="1"/>
        <v>499159.59540804353</v>
      </c>
      <c r="J41" s="321"/>
    </row>
    <row r="42" spans="1:10">
      <c r="A42" s="331">
        <v>15</v>
      </c>
      <c r="B42" s="369">
        <f>IF(A42&gt;D14,0,E223*$D$12)</f>
        <v>28116.810303580965</v>
      </c>
      <c r="C42" s="371">
        <f t="shared" si="0"/>
        <v>514883.09469799337</v>
      </c>
      <c r="D42" s="325">
        <v>35</v>
      </c>
      <c r="E42" s="369">
        <f>IF(D42&gt;$D$14,0,E463*$D$12)</f>
        <v>10936.173536505126</v>
      </c>
      <c r="F42" s="371">
        <f t="shared" si="1"/>
        <v>497702.45793091756</v>
      </c>
      <c r="J42" s="321"/>
    </row>
    <row r="43" spans="1:10">
      <c r="A43" s="332">
        <v>16</v>
      </c>
      <c r="B43" s="372">
        <f>IF(A43&gt;D14,0,E235*$D$12)</f>
        <v>27671.036832746187</v>
      </c>
      <c r="C43" s="369">
        <f t="shared" si="0"/>
        <v>514437.32122715859</v>
      </c>
      <c r="D43" s="327">
        <v>36</v>
      </c>
      <c r="E43" s="372">
        <f>IF(D43&gt;$D$14,0,E475*$D$12)</f>
        <v>9385.310332719464</v>
      </c>
      <c r="F43" s="369">
        <f t="shared" si="1"/>
        <v>496151.59472713189</v>
      </c>
      <c r="J43" s="321"/>
    </row>
    <row r="44" spans="1:10">
      <c r="A44" s="328">
        <v>17</v>
      </c>
      <c r="B44" s="373">
        <f>IF(A44&gt;D14,0,E247*$D$12)</f>
        <v>27196.590403363949</v>
      </c>
      <c r="C44" s="369">
        <f t="shared" si="0"/>
        <v>513962.87479777634</v>
      </c>
      <c r="D44" s="325">
        <v>37</v>
      </c>
      <c r="E44" s="373">
        <f>IF(D44&gt;$D$14,0,E487*$D$12)</f>
        <v>7734.6927934600908</v>
      </c>
      <c r="F44" s="369">
        <f t="shared" si="1"/>
        <v>494500.97718787252</v>
      </c>
      <c r="J44" s="321"/>
    </row>
    <row r="45" spans="1:10">
      <c r="A45" s="328">
        <v>18</v>
      </c>
      <c r="B45" s="373">
        <f>IF(A45&gt;D14,0,E259*$D$12)</f>
        <v>26691.62671871034</v>
      </c>
      <c r="C45" s="369">
        <f t="shared" si="0"/>
        <v>513457.91111312277</v>
      </c>
      <c r="D45" s="325">
        <v>38</v>
      </c>
      <c r="E45" s="373">
        <f>IF(D45&gt;$D$14,0,E499*$D$12)</f>
        <v>5977.9045388544846</v>
      </c>
      <c r="F45" s="369">
        <f t="shared" si="1"/>
        <v>492744.18893326691</v>
      </c>
      <c r="J45" s="321"/>
    </row>
    <row r="46" spans="1:10">
      <c r="A46" s="328">
        <v>19</v>
      </c>
      <c r="B46" s="373">
        <f>IF(A46&gt;D14,0,E271*$D$12)</f>
        <v>26154.182853549493</v>
      </c>
      <c r="C46" s="369">
        <f t="shared" si="0"/>
        <v>512920.4672479619</v>
      </c>
      <c r="D46" s="325">
        <v>39</v>
      </c>
      <c r="E46" s="373">
        <f>IF(D46&gt;$D$14,0,E511*$D$12)</f>
        <v>4108.1164758335244</v>
      </c>
      <c r="F46" s="369">
        <f t="shared" si="1"/>
        <v>490874.40087024594</v>
      </c>
      <c r="J46" s="321"/>
    </row>
    <row r="47" spans="1:10">
      <c r="A47" s="329">
        <v>20</v>
      </c>
      <c r="B47" s="371">
        <f>IF(A47&gt;D14,0,E283*$D$12)</f>
        <v>25582.169623732465</v>
      </c>
      <c r="C47" s="371">
        <f t="shared" si="0"/>
        <v>512348.45401814487</v>
      </c>
      <c r="D47" s="330">
        <v>40</v>
      </c>
      <c r="E47" s="371">
        <f>IF(D47&gt;$D$14,0,E523*$D$12)</f>
        <v>2118.0602516697663</v>
      </c>
      <c r="F47" s="371">
        <f t="shared" si="1"/>
        <v>488884.3446460822</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2011-015 Briarcliff Summit Apartments , Atlanta, Fulton County</v>
      </c>
      <c r="B50" s="886"/>
      <c r="C50" s="886"/>
      <c r="D50" s="886"/>
      <c r="E50" s="886"/>
      <c r="F50" s="886"/>
      <c r="G50" s="300"/>
      <c r="H50" s="300"/>
    </row>
    <row r="51" spans="1:10" ht="15">
      <c r="A51" s="887" t="s">
        <v>3742</v>
      </c>
      <c r="B51" s="887"/>
      <c r="C51" s="887"/>
      <c r="D51" s="887"/>
      <c r="E51" s="887"/>
      <c r="F51" s="887"/>
      <c r="G51" s="333"/>
      <c r="H51" s="333"/>
      <c r="I51" s="333"/>
      <c r="J51" s="333"/>
    </row>
    <row r="52" spans="1:10" ht="5.45" customHeight="1">
      <c r="C52" s="273"/>
      <c r="D52" s="273"/>
      <c r="G52" s="278"/>
      <c r="H52" s="272"/>
      <c r="I52" s="278"/>
    </row>
    <row r="53" spans="1:10">
      <c r="A53" s="276" t="s">
        <v>3743</v>
      </c>
      <c r="B53" s="276" t="s">
        <v>3744</v>
      </c>
      <c r="C53" s="276" t="s">
        <v>1993</v>
      </c>
      <c r="D53" s="276" t="s">
        <v>3745</v>
      </c>
      <c r="E53" s="276" t="s">
        <v>3746</v>
      </c>
      <c r="F53" s="307" t="s">
        <v>3752</v>
      </c>
      <c r="G53" s="334"/>
      <c r="H53" s="334"/>
      <c r="I53" s="334"/>
    </row>
    <row r="54" spans="1:10" ht="3.6" customHeight="1">
      <c r="F54" s="111"/>
      <c r="G54" s="278"/>
      <c r="H54" s="272"/>
      <c r="I54" s="278"/>
    </row>
    <row r="55" spans="1:10">
      <c r="A55" s="31" t="s">
        <v>3747</v>
      </c>
      <c r="E55" s="273">
        <f>D5</f>
        <v>7144800</v>
      </c>
      <c r="F55" s="111"/>
      <c r="G55" s="278"/>
      <c r="H55" s="272"/>
      <c r="I55" s="278"/>
    </row>
    <row r="56" spans="1:10">
      <c r="A56" s="745">
        <v>1</v>
      </c>
      <c r="B56" s="284">
        <f t="shared" ref="B56:B119" si="2">IF(A56&gt;12*$D$14,0,$D$20)</f>
        <v>40563.857032867701</v>
      </c>
      <c r="C56" s="284">
        <f t="shared" ref="C56:C119" si="3">IF(A56&gt;12*$D$14,0,E55*$D$10/12)</f>
        <v>37212.5</v>
      </c>
      <c r="D56" s="284">
        <f t="shared" ref="D56:D119" si="4">IF(A56&gt;12*$D$14,0,B56-C56)</f>
        <v>3351.3570328677015</v>
      </c>
      <c r="E56" s="284">
        <f t="shared" ref="E56:E119" si="5">IF(A56&gt;12*$D$14,0,E55-D56)</f>
        <v>7141448.6429671319</v>
      </c>
      <c r="F56" s="283"/>
      <c r="G56" s="335"/>
      <c r="H56" s="291"/>
      <c r="I56" s="278"/>
    </row>
    <row r="57" spans="1:10">
      <c r="A57" s="745">
        <v>2</v>
      </c>
      <c r="B57" s="284">
        <f t="shared" si="2"/>
        <v>40563.857032867701</v>
      </c>
      <c r="C57" s="284">
        <f t="shared" si="3"/>
        <v>37195.045015453812</v>
      </c>
      <c r="D57" s="284">
        <f t="shared" si="4"/>
        <v>3368.8120174138894</v>
      </c>
      <c r="E57" s="284">
        <f t="shared" si="5"/>
        <v>7138079.8309497181</v>
      </c>
      <c r="F57" s="283"/>
      <c r="G57" s="335"/>
      <c r="H57" s="291"/>
      <c r="I57" s="278"/>
    </row>
    <row r="58" spans="1:10">
      <c r="A58" s="745">
        <v>3</v>
      </c>
      <c r="B58" s="284">
        <f t="shared" si="2"/>
        <v>40563.857032867701</v>
      </c>
      <c r="C58" s="284">
        <f t="shared" si="3"/>
        <v>37177.499119529784</v>
      </c>
      <c r="D58" s="284">
        <f t="shared" si="4"/>
        <v>3386.3579133379171</v>
      </c>
      <c r="E58" s="284">
        <f t="shared" si="5"/>
        <v>7134693.4730363805</v>
      </c>
      <c r="F58" s="283"/>
      <c r="G58" s="335"/>
      <c r="H58" s="291"/>
      <c r="I58" s="278"/>
    </row>
    <row r="59" spans="1:10">
      <c r="A59" s="745">
        <v>4</v>
      </c>
      <c r="B59" s="284">
        <f t="shared" si="2"/>
        <v>40563.857032867701</v>
      </c>
      <c r="C59" s="284">
        <f t="shared" si="3"/>
        <v>37159.861838731151</v>
      </c>
      <c r="D59" s="284">
        <f t="shared" si="4"/>
        <v>3403.9951941365507</v>
      </c>
      <c r="E59" s="284">
        <f t="shared" si="5"/>
        <v>7131289.4778422443</v>
      </c>
      <c r="F59" s="283"/>
      <c r="G59" s="335"/>
      <c r="H59" s="291"/>
      <c r="I59" s="278"/>
    </row>
    <row r="60" spans="1:10">
      <c r="A60" s="745">
        <v>5</v>
      </c>
      <c r="B60" s="284">
        <f t="shared" si="2"/>
        <v>40563.857032867701</v>
      </c>
      <c r="C60" s="284">
        <f t="shared" si="3"/>
        <v>37142.132697095025</v>
      </c>
      <c r="D60" s="284">
        <f t="shared" si="4"/>
        <v>3421.7243357726766</v>
      </c>
      <c r="E60" s="284">
        <f t="shared" si="5"/>
        <v>7127867.7535064714</v>
      </c>
      <c r="F60" s="283"/>
      <c r="G60" s="335"/>
      <c r="H60" s="291"/>
      <c r="I60" s="278"/>
    </row>
    <row r="61" spans="1:10">
      <c r="A61" s="745">
        <v>6</v>
      </c>
      <c r="B61" s="284">
        <f t="shared" si="2"/>
        <v>40563.857032867701</v>
      </c>
      <c r="C61" s="284">
        <f t="shared" si="3"/>
        <v>37124.311216179536</v>
      </c>
      <c r="D61" s="284">
        <f t="shared" si="4"/>
        <v>3439.5458166881654</v>
      </c>
      <c r="E61" s="284">
        <f t="shared" si="5"/>
        <v>7124428.2076897835</v>
      </c>
      <c r="F61" s="283"/>
      <c r="G61" s="335"/>
      <c r="H61" s="291"/>
      <c r="I61" s="278"/>
    </row>
    <row r="62" spans="1:10">
      <c r="A62" s="745">
        <v>7</v>
      </c>
      <c r="B62" s="284">
        <f t="shared" si="2"/>
        <v>40563.857032867701</v>
      </c>
      <c r="C62" s="284">
        <f t="shared" si="3"/>
        <v>37106.396915050958</v>
      </c>
      <c r="D62" s="284">
        <f t="shared" si="4"/>
        <v>3457.4601178167431</v>
      </c>
      <c r="E62" s="284">
        <f t="shared" si="5"/>
        <v>7120970.7475719666</v>
      </c>
      <c r="F62" s="283"/>
      <c r="G62" s="335"/>
      <c r="H62" s="291"/>
      <c r="I62" s="278"/>
    </row>
    <row r="63" spans="1:10">
      <c r="A63" s="745">
        <v>8</v>
      </c>
      <c r="B63" s="284">
        <f t="shared" si="2"/>
        <v>40563.857032867701</v>
      </c>
      <c r="C63" s="284">
        <f t="shared" si="3"/>
        <v>37088.389310270657</v>
      </c>
      <c r="D63" s="284">
        <f t="shared" si="4"/>
        <v>3475.4677225970445</v>
      </c>
      <c r="E63" s="284">
        <f t="shared" si="5"/>
        <v>7117495.27984937</v>
      </c>
      <c r="F63" s="283"/>
      <c r="G63" s="335"/>
      <c r="H63" s="291"/>
      <c r="I63" s="278"/>
    </row>
    <row r="64" spans="1:10">
      <c r="A64" s="745">
        <v>9</v>
      </c>
      <c r="B64" s="284">
        <f t="shared" si="2"/>
        <v>40563.857032867701</v>
      </c>
      <c r="C64" s="284">
        <f t="shared" si="3"/>
        <v>37070.287915882138</v>
      </c>
      <c r="D64" s="284">
        <f t="shared" si="4"/>
        <v>3493.5691169855636</v>
      </c>
      <c r="E64" s="284">
        <f t="shared" si="5"/>
        <v>7114001.7107323846</v>
      </c>
      <c r="F64" s="283"/>
      <c r="G64" s="335"/>
      <c r="H64" s="291"/>
      <c r="I64" s="278"/>
    </row>
    <row r="65" spans="1:9">
      <c r="A65" s="745">
        <v>10</v>
      </c>
      <c r="B65" s="284">
        <f t="shared" si="2"/>
        <v>40563.857032867701</v>
      </c>
      <c r="C65" s="284">
        <f t="shared" si="3"/>
        <v>37052.092243397834</v>
      </c>
      <c r="D65" s="284">
        <f t="shared" si="4"/>
        <v>3511.7647894698675</v>
      </c>
      <c r="E65" s="284">
        <f t="shared" si="5"/>
        <v>7110489.945942915</v>
      </c>
      <c r="F65" s="283"/>
      <c r="G65" s="278"/>
      <c r="H65" s="272"/>
      <c r="I65" s="278"/>
    </row>
    <row r="66" spans="1:9">
      <c r="A66" s="745">
        <v>11</v>
      </c>
      <c r="B66" s="284">
        <f t="shared" si="2"/>
        <v>40563.857032867701</v>
      </c>
      <c r="C66" s="284">
        <f t="shared" si="3"/>
        <v>37033.801801786016</v>
      </c>
      <c r="D66" s="284">
        <f t="shared" si="4"/>
        <v>3530.0552310816856</v>
      </c>
      <c r="E66" s="284">
        <f t="shared" si="5"/>
        <v>7106959.8907118337</v>
      </c>
      <c r="F66" s="283"/>
      <c r="G66" s="278"/>
      <c r="H66" s="272"/>
      <c r="I66" s="278"/>
    </row>
    <row r="67" spans="1:9">
      <c r="A67" s="745">
        <v>12</v>
      </c>
      <c r="B67" s="284">
        <f t="shared" si="2"/>
        <v>40563.857032867701</v>
      </c>
      <c r="C67" s="284">
        <f t="shared" si="3"/>
        <v>37015.41609745747</v>
      </c>
      <c r="D67" s="284">
        <f t="shared" si="4"/>
        <v>3548.4409354102318</v>
      </c>
      <c r="E67" s="284">
        <f t="shared" si="5"/>
        <v>7103411.4497764232</v>
      </c>
      <c r="F67" s="283">
        <v>1</v>
      </c>
      <c r="G67" s="335"/>
      <c r="H67" s="291"/>
      <c r="I67" s="335"/>
    </row>
    <row r="68" spans="1:9">
      <c r="A68" s="745">
        <v>13</v>
      </c>
      <c r="B68" s="284">
        <f t="shared" si="2"/>
        <v>40563.857032867701</v>
      </c>
      <c r="C68" s="284">
        <f t="shared" si="3"/>
        <v>36996.934634252204</v>
      </c>
      <c r="D68" s="284">
        <f t="shared" si="4"/>
        <v>3566.9223986154975</v>
      </c>
      <c r="E68" s="284">
        <f t="shared" si="5"/>
        <v>7099844.5273778075</v>
      </c>
      <c r="F68" s="283"/>
      <c r="G68" s="278"/>
      <c r="H68" s="272"/>
      <c r="I68" s="335"/>
    </row>
    <row r="69" spans="1:9">
      <c r="A69" s="745">
        <v>14</v>
      </c>
      <c r="B69" s="284">
        <f t="shared" si="2"/>
        <v>40563.857032867701</v>
      </c>
      <c r="C69" s="284">
        <f t="shared" si="3"/>
        <v>36978.356913426083</v>
      </c>
      <c r="D69" s="284">
        <f t="shared" si="4"/>
        <v>3585.5001194416182</v>
      </c>
      <c r="E69" s="284">
        <f t="shared" si="5"/>
        <v>7096259.0272583663</v>
      </c>
      <c r="F69" s="283"/>
      <c r="G69" s="278"/>
      <c r="H69" s="272"/>
      <c r="I69" s="278"/>
    </row>
    <row r="70" spans="1:9">
      <c r="A70" s="745">
        <v>15</v>
      </c>
      <c r="B70" s="284">
        <f t="shared" si="2"/>
        <v>40563.857032867701</v>
      </c>
      <c r="C70" s="284">
        <f t="shared" si="3"/>
        <v>36959.682433637325</v>
      </c>
      <c r="D70" s="284">
        <f t="shared" si="4"/>
        <v>3604.1745992303768</v>
      </c>
      <c r="E70" s="284">
        <f t="shared" si="5"/>
        <v>7092654.8526591361</v>
      </c>
      <c r="F70" s="283"/>
      <c r="G70" s="278"/>
      <c r="H70" s="272"/>
      <c r="I70" s="278"/>
    </row>
    <row r="71" spans="1:9">
      <c r="A71" s="745">
        <v>16</v>
      </c>
      <c r="B71" s="284">
        <f t="shared" si="2"/>
        <v>40563.857032867701</v>
      </c>
      <c r="C71" s="284">
        <f t="shared" si="3"/>
        <v>36940.910690933</v>
      </c>
      <c r="D71" s="284">
        <f t="shared" si="4"/>
        <v>3622.9463419347012</v>
      </c>
      <c r="E71" s="284">
        <f t="shared" si="5"/>
        <v>7089031.9063172014</v>
      </c>
      <c r="F71" s="283"/>
      <c r="G71" s="278"/>
      <c r="H71" s="272"/>
      <c r="I71" s="278"/>
    </row>
    <row r="72" spans="1:9">
      <c r="A72" s="745">
        <v>17</v>
      </c>
      <c r="B72" s="284">
        <f t="shared" si="2"/>
        <v>40563.857032867701</v>
      </c>
      <c r="C72" s="284">
        <f t="shared" si="3"/>
        <v>36922.041178735424</v>
      </c>
      <c r="D72" s="284">
        <f t="shared" si="4"/>
        <v>3641.8158541322773</v>
      </c>
      <c r="E72" s="284">
        <f t="shared" si="5"/>
        <v>7085390.0904630693</v>
      </c>
      <c r="F72" s="283"/>
      <c r="G72" s="278"/>
      <c r="H72" s="272"/>
      <c r="I72" s="278"/>
    </row>
    <row r="73" spans="1:9">
      <c r="A73" s="745">
        <v>18</v>
      </c>
      <c r="B73" s="284">
        <f t="shared" si="2"/>
        <v>40563.857032867701</v>
      </c>
      <c r="C73" s="284">
        <f t="shared" si="3"/>
        <v>36903.073387828488</v>
      </c>
      <c r="D73" s="284">
        <f t="shared" si="4"/>
        <v>3660.7836450392133</v>
      </c>
      <c r="E73" s="284">
        <f t="shared" si="5"/>
        <v>7081729.3068180298</v>
      </c>
      <c r="F73" s="283"/>
      <c r="G73" s="335"/>
      <c r="H73" s="291"/>
      <c r="I73" s="278"/>
    </row>
    <row r="74" spans="1:9">
      <c r="A74" s="745">
        <v>19</v>
      </c>
      <c r="B74" s="284">
        <f t="shared" si="2"/>
        <v>40563.857032867701</v>
      </c>
      <c r="C74" s="284">
        <f t="shared" si="3"/>
        <v>36884.006806343903</v>
      </c>
      <c r="D74" s="284">
        <f t="shared" si="4"/>
        <v>3679.8502265237985</v>
      </c>
      <c r="E74" s="284">
        <f t="shared" si="5"/>
        <v>7078049.4565915065</v>
      </c>
      <c r="F74" s="283"/>
      <c r="G74" s="335"/>
      <c r="H74" s="291"/>
      <c r="I74" s="278"/>
    </row>
    <row r="75" spans="1:9">
      <c r="A75" s="745">
        <v>20</v>
      </c>
      <c r="B75" s="284">
        <f t="shared" si="2"/>
        <v>40563.857032867701</v>
      </c>
      <c r="C75" s="284">
        <f t="shared" si="3"/>
        <v>36864.840919747432</v>
      </c>
      <c r="D75" s="284">
        <f t="shared" si="4"/>
        <v>3699.0161131202694</v>
      </c>
      <c r="E75" s="284">
        <f t="shared" si="5"/>
        <v>7074350.4404783864</v>
      </c>
      <c r="F75" s="283"/>
      <c r="G75" s="335"/>
      <c r="H75" s="291"/>
      <c r="I75" s="278"/>
    </row>
    <row r="76" spans="1:9">
      <c r="A76" s="745">
        <v>21</v>
      </c>
      <c r="B76" s="284">
        <f t="shared" si="2"/>
        <v>40563.857032867701</v>
      </c>
      <c r="C76" s="284">
        <f t="shared" si="3"/>
        <v>36845.575210824929</v>
      </c>
      <c r="D76" s="284">
        <f t="shared" si="4"/>
        <v>3718.2818220427725</v>
      </c>
      <c r="E76" s="284">
        <f t="shared" si="5"/>
        <v>7070632.1586563438</v>
      </c>
      <c r="F76" s="283"/>
      <c r="G76" s="335"/>
      <c r="H76" s="291"/>
      <c r="I76" s="278"/>
    </row>
    <row r="77" spans="1:9">
      <c r="A77" s="745">
        <v>22</v>
      </c>
      <c r="B77" s="284">
        <f t="shared" si="2"/>
        <v>40563.857032867701</v>
      </c>
      <c r="C77" s="284">
        <f t="shared" si="3"/>
        <v>36826.209159668455</v>
      </c>
      <c r="D77" s="284">
        <f t="shared" si="4"/>
        <v>3737.6478731992465</v>
      </c>
      <c r="E77" s="284">
        <f t="shared" si="5"/>
        <v>7066894.5107831443</v>
      </c>
      <c r="F77" s="283"/>
      <c r="G77" s="278"/>
      <c r="H77" s="272"/>
      <c r="I77" s="278"/>
    </row>
    <row r="78" spans="1:9">
      <c r="A78" s="745">
        <v>23</v>
      </c>
      <c r="B78" s="284">
        <f t="shared" si="2"/>
        <v>40563.857032867701</v>
      </c>
      <c r="C78" s="284">
        <f t="shared" si="3"/>
        <v>36806.742243662207</v>
      </c>
      <c r="D78" s="284">
        <f t="shared" si="4"/>
        <v>3757.1147892054942</v>
      </c>
      <c r="E78" s="284">
        <f t="shared" si="5"/>
        <v>7063137.3959939387</v>
      </c>
      <c r="F78" s="283"/>
      <c r="G78" s="278"/>
      <c r="H78" s="272"/>
      <c r="I78" s="278"/>
    </row>
    <row r="79" spans="1:9">
      <c r="A79" s="745">
        <v>24</v>
      </c>
      <c r="B79" s="284">
        <f t="shared" si="2"/>
        <v>40563.857032867701</v>
      </c>
      <c r="C79" s="284">
        <f t="shared" si="3"/>
        <v>36787.173937468433</v>
      </c>
      <c r="D79" s="284">
        <f t="shared" si="4"/>
        <v>3776.6830953992685</v>
      </c>
      <c r="E79" s="284">
        <f t="shared" si="5"/>
        <v>7059360.7128985394</v>
      </c>
      <c r="F79" s="283">
        <v>2</v>
      </c>
      <c r="G79" s="335"/>
      <c r="H79" s="291"/>
      <c r="I79" s="335"/>
    </row>
    <row r="80" spans="1:9">
      <c r="A80" s="745">
        <v>25</v>
      </c>
      <c r="B80" s="284">
        <f t="shared" si="2"/>
        <v>40563.857032867701</v>
      </c>
      <c r="C80" s="284">
        <f t="shared" si="3"/>
        <v>36767.503713013226</v>
      </c>
      <c r="D80" s="284">
        <f t="shared" si="4"/>
        <v>3796.3533198544756</v>
      </c>
      <c r="E80" s="284">
        <f t="shared" si="5"/>
        <v>7055564.3595786849</v>
      </c>
      <c r="F80" s="283"/>
      <c r="G80" s="278"/>
      <c r="H80" s="272"/>
      <c r="I80" s="335"/>
    </row>
    <row r="81" spans="1:9">
      <c r="A81" s="745">
        <v>26</v>
      </c>
      <c r="B81" s="284">
        <f t="shared" si="2"/>
        <v>40563.857032867701</v>
      </c>
      <c r="C81" s="284">
        <f t="shared" si="3"/>
        <v>36747.731039472317</v>
      </c>
      <c r="D81" s="284">
        <f t="shared" si="4"/>
        <v>3816.1259933953843</v>
      </c>
      <c r="E81" s="284">
        <f t="shared" si="5"/>
        <v>7051748.2335852897</v>
      </c>
      <c r="F81" s="283"/>
      <c r="G81" s="278"/>
      <c r="H81" s="272"/>
      <c r="I81" s="278"/>
    </row>
    <row r="82" spans="1:9">
      <c r="A82" s="745">
        <v>27</v>
      </c>
      <c r="B82" s="284">
        <f t="shared" si="2"/>
        <v>40563.857032867701</v>
      </c>
      <c r="C82" s="284">
        <f t="shared" si="3"/>
        <v>36727.85538325672</v>
      </c>
      <c r="D82" s="284">
        <f t="shared" si="4"/>
        <v>3836.001649610982</v>
      </c>
      <c r="E82" s="284">
        <f t="shared" si="5"/>
        <v>7047912.231935679</v>
      </c>
      <c r="F82" s="283"/>
      <c r="G82" s="278"/>
      <c r="H82" s="272"/>
      <c r="I82" s="278"/>
    </row>
    <row r="83" spans="1:9">
      <c r="A83" s="745">
        <v>28</v>
      </c>
      <c r="B83" s="284">
        <f t="shared" si="2"/>
        <v>40563.857032867701</v>
      </c>
      <c r="C83" s="284">
        <f t="shared" si="3"/>
        <v>36707.876207998328</v>
      </c>
      <c r="D83" s="284">
        <f t="shared" si="4"/>
        <v>3855.9808248693735</v>
      </c>
      <c r="E83" s="284">
        <f t="shared" si="5"/>
        <v>7044056.2511108099</v>
      </c>
      <c r="F83" s="283"/>
      <c r="G83" s="278"/>
      <c r="H83" s="272"/>
      <c r="I83" s="278"/>
    </row>
    <row r="84" spans="1:9">
      <c r="A84" s="745">
        <v>29</v>
      </c>
      <c r="B84" s="284">
        <f t="shared" si="2"/>
        <v>40563.857032867701</v>
      </c>
      <c r="C84" s="284">
        <f t="shared" si="3"/>
        <v>36687.79297453547</v>
      </c>
      <c r="D84" s="284">
        <f t="shared" si="4"/>
        <v>3876.0640583322311</v>
      </c>
      <c r="E84" s="284">
        <f t="shared" si="5"/>
        <v>7040180.1870524781</v>
      </c>
      <c r="F84" s="283"/>
      <c r="G84" s="278"/>
      <c r="H84" s="272"/>
      <c r="I84" s="278"/>
    </row>
    <row r="85" spans="1:9">
      <c r="A85" s="745">
        <v>30</v>
      </c>
      <c r="B85" s="284">
        <f t="shared" si="2"/>
        <v>40563.857032867701</v>
      </c>
      <c r="C85" s="284">
        <f t="shared" si="3"/>
        <v>36667.605140898326</v>
      </c>
      <c r="D85" s="284">
        <f t="shared" si="4"/>
        <v>3896.2518919693757</v>
      </c>
      <c r="E85" s="284">
        <f t="shared" si="5"/>
        <v>7036283.9351605084</v>
      </c>
      <c r="F85" s="283"/>
      <c r="G85" s="335"/>
      <c r="H85" s="291"/>
      <c r="I85" s="278"/>
    </row>
    <row r="86" spans="1:9">
      <c r="A86" s="745">
        <v>31</v>
      </c>
      <c r="B86" s="284">
        <f t="shared" si="2"/>
        <v>40563.857032867701</v>
      </c>
      <c r="C86" s="284">
        <f t="shared" si="3"/>
        <v>36647.312162294314</v>
      </c>
      <c r="D86" s="284">
        <f t="shared" si="4"/>
        <v>3916.544870573387</v>
      </c>
      <c r="E86" s="284">
        <f t="shared" si="5"/>
        <v>7032367.3902899353</v>
      </c>
      <c r="F86" s="283"/>
      <c r="G86" s="278"/>
      <c r="H86" s="272"/>
      <c r="I86" s="278"/>
    </row>
    <row r="87" spans="1:9">
      <c r="A87" s="745">
        <v>32</v>
      </c>
      <c r="B87" s="284">
        <f t="shared" si="2"/>
        <v>40563.857032867701</v>
      </c>
      <c r="C87" s="284">
        <f t="shared" si="3"/>
        <v>36626.913491093415</v>
      </c>
      <c r="D87" s="284">
        <f t="shared" si="4"/>
        <v>3936.9435417742861</v>
      </c>
      <c r="E87" s="284">
        <f t="shared" si="5"/>
        <v>7028430.4467481608</v>
      </c>
      <c r="F87" s="283"/>
      <c r="G87" s="278"/>
      <c r="H87" s="272"/>
      <c r="I87" s="278"/>
    </row>
    <row r="88" spans="1:9">
      <c r="A88" s="745">
        <v>33</v>
      </c>
      <c r="B88" s="284">
        <f t="shared" si="2"/>
        <v>40563.857032867701</v>
      </c>
      <c r="C88" s="284">
        <f t="shared" si="3"/>
        <v>36606.408576813337</v>
      </c>
      <c r="D88" s="284">
        <f t="shared" si="4"/>
        <v>3957.4484560543642</v>
      </c>
      <c r="E88" s="284">
        <f t="shared" si="5"/>
        <v>7024472.9982921062</v>
      </c>
      <c r="F88" s="283"/>
      <c r="G88" s="278"/>
      <c r="H88" s="272"/>
      <c r="I88" s="278"/>
    </row>
    <row r="89" spans="1:9">
      <c r="A89" s="745">
        <v>34</v>
      </c>
      <c r="B89" s="284">
        <f t="shared" si="2"/>
        <v>40563.857032867701</v>
      </c>
      <c r="C89" s="284">
        <f t="shared" si="3"/>
        <v>36585.79686610472</v>
      </c>
      <c r="D89" s="284">
        <f t="shared" si="4"/>
        <v>3978.0601667629817</v>
      </c>
      <c r="E89" s="284">
        <f t="shared" si="5"/>
        <v>7020494.9381253431</v>
      </c>
      <c r="F89" s="283"/>
      <c r="G89" s="278"/>
      <c r="H89" s="272"/>
      <c r="I89" s="278"/>
    </row>
    <row r="90" spans="1:9">
      <c r="A90" s="745">
        <v>35</v>
      </c>
      <c r="B90" s="284">
        <f t="shared" si="2"/>
        <v>40563.857032867701</v>
      </c>
      <c r="C90" s="284">
        <f t="shared" si="3"/>
        <v>36565.077802736159</v>
      </c>
      <c r="D90" s="284">
        <f t="shared" si="4"/>
        <v>3998.7792301315421</v>
      </c>
      <c r="E90" s="284">
        <f t="shared" si="5"/>
        <v>7016496.1588952113</v>
      </c>
      <c r="F90" s="283"/>
      <c r="G90" s="278"/>
      <c r="H90" s="272"/>
      <c r="I90" s="278"/>
    </row>
    <row r="91" spans="1:9">
      <c r="A91" s="745">
        <v>36</v>
      </c>
      <c r="B91" s="284">
        <f t="shared" si="2"/>
        <v>40563.857032867701</v>
      </c>
      <c r="C91" s="284">
        <f t="shared" si="3"/>
        <v>36544.250827579228</v>
      </c>
      <c r="D91" s="284">
        <f t="shared" si="4"/>
        <v>4019.6062052884736</v>
      </c>
      <c r="E91" s="284">
        <f t="shared" si="5"/>
        <v>7012476.552689923</v>
      </c>
      <c r="F91" s="283">
        <v>3</v>
      </c>
      <c r="G91" s="335"/>
      <c r="H91" s="291"/>
      <c r="I91" s="335"/>
    </row>
    <row r="92" spans="1:9">
      <c r="A92" s="745">
        <v>37</v>
      </c>
      <c r="B92" s="284">
        <f t="shared" si="2"/>
        <v>40563.857032867701</v>
      </c>
      <c r="C92" s="284">
        <f t="shared" si="3"/>
        <v>36523.315378593346</v>
      </c>
      <c r="D92" s="284">
        <f t="shared" si="4"/>
        <v>4040.5416542743551</v>
      </c>
      <c r="E92" s="284">
        <f t="shared" si="5"/>
        <v>7008436.0110356482</v>
      </c>
      <c r="F92" s="283"/>
      <c r="G92" s="278"/>
      <c r="H92" s="272"/>
      <c r="I92" s="335"/>
    </row>
    <row r="93" spans="1:9">
      <c r="A93" s="745">
        <v>38</v>
      </c>
      <c r="B93" s="284">
        <f t="shared" si="2"/>
        <v>40563.857032867701</v>
      </c>
      <c r="C93" s="284">
        <f t="shared" si="3"/>
        <v>36502.270890810665</v>
      </c>
      <c r="D93" s="284">
        <f t="shared" si="4"/>
        <v>4061.5861420570363</v>
      </c>
      <c r="E93" s="284">
        <f t="shared" si="5"/>
        <v>7004374.4248935916</v>
      </c>
      <c r="F93" s="283"/>
      <c r="G93" s="278"/>
      <c r="H93" s="272"/>
      <c r="I93" s="278"/>
    </row>
    <row r="94" spans="1:9">
      <c r="A94" s="745">
        <v>39</v>
      </c>
      <c r="B94" s="284">
        <f t="shared" si="2"/>
        <v>40563.857032867701</v>
      </c>
      <c r="C94" s="284">
        <f t="shared" si="3"/>
        <v>36481.116796320792</v>
      </c>
      <c r="D94" s="284">
        <f t="shared" si="4"/>
        <v>4082.7402365469097</v>
      </c>
      <c r="E94" s="284">
        <f t="shared" si="5"/>
        <v>7000291.6846570447</v>
      </c>
      <c r="F94" s="283"/>
      <c r="G94" s="278"/>
      <c r="H94" s="272"/>
      <c r="I94" s="278"/>
    </row>
    <row r="95" spans="1:9">
      <c r="A95" s="745">
        <v>40</v>
      </c>
      <c r="B95" s="284">
        <f t="shared" si="2"/>
        <v>40563.857032867701</v>
      </c>
      <c r="C95" s="284">
        <f t="shared" si="3"/>
        <v>36459.852524255439</v>
      </c>
      <c r="D95" s="284">
        <f t="shared" si="4"/>
        <v>4104.0045086122627</v>
      </c>
      <c r="E95" s="284">
        <f t="shared" si="5"/>
        <v>6996187.680148432</v>
      </c>
      <c r="F95" s="283"/>
      <c r="G95" s="278"/>
      <c r="H95" s="272"/>
      <c r="I95" s="278"/>
    </row>
    <row r="96" spans="1:9">
      <c r="A96" s="745">
        <v>41</v>
      </c>
      <c r="B96" s="284">
        <f t="shared" si="2"/>
        <v>40563.857032867701</v>
      </c>
      <c r="C96" s="284">
        <f t="shared" si="3"/>
        <v>36438.477500773086</v>
      </c>
      <c r="D96" s="284">
        <f t="shared" si="4"/>
        <v>4125.3795320946156</v>
      </c>
      <c r="E96" s="284">
        <f t="shared" si="5"/>
        <v>6992062.300616337</v>
      </c>
      <c r="F96" s="283"/>
      <c r="G96" s="278"/>
      <c r="H96" s="272"/>
      <c r="I96" s="278"/>
    </row>
    <row r="97" spans="1:9">
      <c r="A97" s="745">
        <v>42</v>
      </c>
      <c r="B97" s="284">
        <f t="shared" si="2"/>
        <v>40563.857032867701</v>
      </c>
      <c r="C97" s="284">
        <f t="shared" si="3"/>
        <v>36416.991149043424</v>
      </c>
      <c r="D97" s="284">
        <f t="shared" si="4"/>
        <v>4146.8658838242773</v>
      </c>
      <c r="E97" s="284">
        <f t="shared" si="5"/>
        <v>6987915.4347325126</v>
      </c>
      <c r="F97" s="283"/>
      <c r="G97" s="335"/>
      <c r="H97" s="291"/>
      <c r="I97" s="278"/>
    </row>
    <row r="98" spans="1:9">
      <c r="A98" s="745">
        <v>43</v>
      </c>
      <c r="B98" s="284">
        <f t="shared" si="2"/>
        <v>40563.857032867701</v>
      </c>
      <c r="C98" s="284">
        <f t="shared" si="3"/>
        <v>36395.392889231836</v>
      </c>
      <c r="D98" s="284">
        <f t="shared" si="4"/>
        <v>4168.4641436358652</v>
      </c>
      <c r="E98" s="284">
        <f t="shared" si="5"/>
        <v>6983746.9705888769</v>
      </c>
      <c r="F98" s="283"/>
      <c r="G98" s="278"/>
      <c r="H98" s="272"/>
      <c r="I98" s="278"/>
    </row>
    <row r="99" spans="1:9">
      <c r="A99" s="745">
        <v>44</v>
      </c>
      <c r="B99" s="284">
        <f t="shared" si="2"/>
        <v>40563.857032867701</v>
      </c>
      <c r="C99" s="284">
        <f t="shared" si="3"/>
        <v>36373.682138483731</v>
      </c>
      <c r="D99" s="284">
        <f t="shared" si="4"/>
        <v>4190.1748943839702</v>
      </c>
      <c r="E99" s="284">
        <f t="shared" si="5"/>
        <v>6979556.7956944928</v>
      </c>
      <c r="F99" s="283"/>
      <c r="G99" s="278"/>
      <c r="H99" s="272"/>
      <c r="I99" s="278"/>
    </row>
    <row r="100" spans="1:9">
      <c r="A100" s="745">
        <v>45</v>
      </c>
      <c r="B100" s="284">
        <f t="shared" si="2"/>
        <v>40563.857032867701</v>
      </c>
      <c r="C100" s="284">
        <f t="shared" si="3"/>
        <v>36351.858310908814</v>
      </c>
      <c r="D100" s="284">
        <f t="shared" si="4"/>
        <v>4211.9987219588875</v>
      </c>
      <c r="E100" s="284">
        <f t="shared" si="5"/>
        <v>6975344.7969725337</v>
      </c>
      <c r="F100" s="283"/>
      <c r="G100" s="278"/>
      <c r="H100" s="272"/>
      <c r="I100" s="278"/>
    </row>
    <row r="101" spans="1:9">
      <c r="A101" s="745">
        <v>46</v>
      </c>
      <c r="B101" s="284">
        <f t="shared" si="2"/>
        <v>40563.857032867701</v>
      </c>
      <c r="C101" s="284">
        <f t="shared" si="3"/>
        <v>36329.920817565282</v>
      </c>
      <c r="D101" s="284">
        <f t="shared" si="4"/>
        <v>4233.9362153024194</v>
      </c>
      <c r="E101" s="284">
        <f t="shared" si="5"/>
        <v>6971110.8607572317</v>
      </c>
      <c r="F101" s="283"/>
      <c r="G101" s="278"/>
      <c r="H101" s="272"/>
      <c r="I101" s="278"/>
    </row>
    <row r="102" spans="1:9">
      <c r="A102" s="745">
        <v>47</v>
      </c>
      <c r="B102" s="284">
        <f t="shared" si="2"/>
        <v>40563.857032867701</v>
      </c>
      <c r="C102" s="284">
        <f t="shared" si="3"/>
        <v>36307.869066443913</v>
      </c>
      <c r="D102" s="284">
        <f t="shared" si="4"/>
        <v>4255.9879664237887</v>
      </c>
      <c r="E102" s="284">
        <f t="shared" si="5"/>
        <v>6966854.8727908079</v>
      </c>
      <c r="F102" s="283"/>
      <c r="G102" s="278"/>
      <c r="H102" s="272"/>
      <c r="I102" s="278"/>
    </row>
    <row r="103" spans="1:9">
      <c r="A103" s="745">
        <v>48</v>
      </c>
      <c r="B103" s="284">
        <f t="shared" si="2"/>
        <v>40563.857032867701</v>
      </c>
      <c r="C103" s="284">
        <f t="shared" si="3"/>
        <v>36285.702462452122</v>
      </c>
      <c r="D103" s="284">
        <f t="shared" si="4"/>
        <v>4278.1545704155797</v>
      </c>
      <c r="E103" s="284">
        <f t="shared" si="5"/>
        <v>6962576.7182203922</v>
      </c>
      <c r="F103" s="283">
        <v>4</v>
      </c>
      <c r="G103" s="335"/>
      <c r="H103" s="291"/>
      <c r="I103" s="335"/>
    </row>
    <row r="104" spans="1:9">
      <c r="A104" s="745">
        <v>49</v>
      </c>
      <c r="B104" s="284">
        <f t="shared" si="2"/>
        <v>40563.857032867701</v>
      </c>
      <c r="C104" s="284">
        <f t="shared" si="3"/>
        <v>36263.420407397876</v>
      </c>
      <c r="D104" s="284">
        <f t="shared" si="4"/>
        <v>4300.4366254698252</v>
      </c>
      <c r="E104" s="284">
        <f t="shared" si="5"/>
        <v>6958276.2815949228</v>
      </c>
      <c r="F104" s="283"/>
      <c r="G104" s="278"/>
      <c r="H104" s="272"/>
      <c r="I104" s="335"/>
    </row>
    <row r="105" spans="1:9">
      <c r="A105" s="745">
        <v>50</v>
      </c>
      <c r="B105" s="284">
        <f t="shared" si="2"/>
        <v>40563.857032867701</v>
      </c>
      <c r="C105" s="284">
        <f t="shared" si="3"/>
        <v>36241.022299973556</v>
      </c>
      <c r="D105" s="284">
        <f t="shared" si="4"/>
        <v>4322.8347328941454</v>
      </c>
      <c r="E105" s="284">
        <f t="shared" si="5"/>
        <v>6953953.4468620289</v>
      </c>
      <c r="F105" s="283"/>
      <c r="G105" s="278"/>
      <c r="H105" s="272"/>
      <c r="I105" s="278"/>
    </row>
    <row r="106" spans="1:9">
      <c r="A106" s="745">
        <v>51</v>
      </c>
      <c r="B106" s="284">
        <f t="shared" si="2"/>
        <v>40563.857032867701</v>
      </c>
      <c r="C106" s="284">
        <f t="shared" si="3"/>
        <v>36218.507535739736</v>
      </c>
      <c r="D106" s="284">
        <f t="shared" si="4"/>
        <v>4345.3494971279652</v>
      </c>
      <c r="E106" s="284">
        <f t="shared" si="5"/>
        <v>6949608.0973649006</v>
      </c>
      <c r="F106" s="283"/>
      <c r="G106" s="278"/>
      <c r="H106" s="272"/>
      <c r="I106" s="278"/>
    </row>
    <row r="107" spans="1:9">
      <c r="A107" s="745">
        <v>52</v>
      </c>
      <c r="B107" s="284">
        <f t="shared" si="2"/>
        <v>40563.857032867701</v>
      </c>
      <c r="C107" s="284">
        <f t="shared" si="3"/>
        <v>36195.87550710886</v>
      </c>
      <c r="D107" s="284">
        <f t="shared" si="4"/>
        <v>4367.9815257588416</v>
      </c>
      <c r="E107" s="284">
        <f t="shared" si="5"/>
        <v>6945240.1158391414</v>
      </c>
      <c r="F107" s="283"/>
      <c r="G107" s="278"/>
      <c r="H107" s="272"/>
      <c r="I107" s="278"/>
    </row>
    <row r="108" spans="1:9">
      <c r="A108" s="745">
        <v>53</v>
      </c>
      <c r="B108" s="284">
        <f t="shared" si="2"/>
        <v>40563.857032867701</v>
      </c>
      <c r="C108" s="284">
        <f t="shared" si="3"/>
        <v>36173.125603328859</v>
      </c>
      <c r="D108" s="284">
        <f t="shared" si="4"/>
        <v>4390.7314295388423</v>
      </c>
      <c r="E108" s="284">
        <f t="shared" si="5"/>
        <v>6940849.3844096027</v>
      </c>
      <c r="F108" s="283"/>
      <c r="G108" s="278"/>
      <c r="H108" s="272"/>
      <c r="I108" s="278"/>
    </row>
    <row r="109" spans="1:9">
      <c r="A109" s="745">
        <v>54</v>
      </c>
      <c r="B109" s="284">
        <f t="shared" si="2"/>
        <v>40563.857032867701</v>
      </c>
      <c r="C109" s="284">
        <f t="shared" si="3"/>
        <v>36150.257210466683</v>
      </c>
      <c r="D109" s="284">
        <f t="shared" si="4"/>
        <v>4413.5998224010182</v>
      </c>
      <c r="E109" s="284">
        <f t="shared" si="5"/>
        <v>6936435.7845872017</v>
      </c>
      <c r="F109" s="283"/>
      <c r="G109" s="335"/>
      <c r="H109" s="291"/>
      <c r="I109" s="278"/>
    </row>
    <row r="110" spans="1:9">
      <c r="A110" s="745">
        <v>55</v>
      </c>
      <c r="B110" s="284">
        <f t="shared" si="2"/>
        <v>40563.857032867701</v>
      </c>
      <c r="C110" s="284">
        <f t="shared" si="3"/>
        <v>36127.269711391673</v>
      </c>
      <c r="D110" s="284">
        <f t="shared" si="4"/>
        <v>4436.5873214760286</v>
      </c>
      <c r="E110" s="284">
        <f t="shared" si="5"/>
        <v>6931999.1972657256</v>
      </c>
      <c r="F110" s="283"/>
      <c r="G110" s="278"/>
      <c r="H110" s="272"/>
      <c r="I110" s="278"/>
    </row>
    <row r="111" spans="1:9">
      <c r="A111" s="745">
        <v>56</v>
      </c>
      <c r="B111" s="284">
        <f t="shared" si="2"/>
        <v>40563.857032867701</v>
      </c>
      <c r="C111" s="284">
        <f t="shared" si="3"/>
        <v>36104.162485758985</v>
      </c>
      <c r="D111" s="284">
        <f t="shared" si="4"/>
        <v>4459.6945471087165</v>
      </c>
      <c r="E111" s="284">
        <f t="shared" si="5"/>
        <v>6927539.5027186172</v>
      </c>
      <c r="F111" s="283"/>
      <c r="G111" s="278"/>
      <c r="H111" s="272"/>
      <c r="I111" s="278"/>
    </row>
    <row r="112" spans="1:9">
      <c r="A112" s="745">
        <v>57</v>
      </c>
      <c r="B112" s="284">
        <f t="shared" si="2"/>
        <v>40563.857032867701</v>
      </c>
      <c r="C112" s="284">
        <f t="shared" si="3"/>
        <v>36080.9349099928</v>
      </c>
      <c r="D112" s="284">
        <f t="shared" si="4"/>
        <v>4482.9221228749011</v>
      </c>
      <c r="E112" s="284">
        <f t="shared" si="5"/>
        <v>6923056.580595742</v>
      </c>
      <c r="F112" s="283"/>
      <c r="G112" s="278"/>
      <c r="H112" s="272"/>
      <c r="I112" s="278"/>
    </row>
    <row r="113" spans="1:9">
      <c r="A113" s="745">
        <v>58</v>
      </c>
      <c r="B113" s="284">
        <f t="shared" si="2"/>
        <v>40563.857032867701</v>
      </c>
      <c r="C113" s="284">
        <f t="shared" si="3"/>
        <v>36057.586357269487</v>
      </c>
      <c r="D113" s="284">
        <f t="shared" si="4"/>
        <v>4506.2706755982144</v>
      </c>
      <c r="E113" s="284">
        <f t="shared" si="5"/>
        <v>6918550.3099201433</v>
      </c>
      <c r="F113" s="283"/>
      <c r="G113" s="278"/>
      <c r="H113" s="272"/>
      <c r="I113" s="278"/>
    </row>
    <row r="114" spans="1:9">
      <c r="A114" s="745">
        <v>59</v>
      </c>
      <c r="B114" s="284">
        <f t="shared" si="2"/>
        <v>40563.857032867701</v>
      </c>
      <c r="C114" s="284">
        <f t="shared" si="3"/>
        <v>36034.116197500749</v>
      </c>
      <c r="D114" s="284">
        <f t="shared" si="4"/>
        <v>4529.7408353669525</v>
      </c>
      <c r="E114" s="284">
        <f t="shared" si="5"/>
        <v>6914020.5690847766</v>
      </c>
      <c r="F114" s="283"/>
      <c r="G114" s="278"/>
      <c r="H114" s="272"/>
      <c r="I114" s="278"/>
    </row>
    <row r="115" spans="1:9">
      <c r="A115" s="745">
        <v>60</v>
      </c>
      <c r="B115" s="284">
        <f t="shared" si="2"/>
        <v>40563.857032867701</v>
      </c>
      <c r="C115" s="284">
        <f t="shared" si="3"/>
        <v>36010.523797316542</v>
      </c>
      <c r="D115" s="284">
        <f t="shared" si="4"/>
        <v>4553.3332355511593</v>
      </c>
      <c r="E115" s="284">
        <f t="shared" si="5"/>
        <v>6909467.235849225</v>
      </c>
      <c r="F115" s="283"/>
      <c r="G115" s="335"/>
      <c r="H115" s="291"/>
      <c r="I115" s="335"/>
    </row>
    <row r="116" spans="1:9">
      <c r="A116" s="745">
        <v>61</v>
      </c>
      <c r="B116" s="284">
        <f t="shared" si="2"/>
        <v>40563.857032867701</v>
      </c>
      <c r="C116" s="284">
        <f t="shared" si="3"/>
        <v>35986.808520048049</v>
      </c>
      <c r="D116" s="284">
        <f t="shared" si="4"/>
        <v>4577.0485128196524</v>
      </c>
      <c r="E116" s="284">
        <f t="shared" si="5"/>
        <v>6904890.1873364057</v>
      </c>
      <c r="F116" s="283"/>
      <c r="G116" s="278"/>
      <c r="H116" s="272"/>
      <c r="I116" s="335"/>
    </row>
    <row r="117" spans="1:9">
      <c r="A117" s="745">
        <v>62</v>
      </c>
      <c r="B117" s="284">
        <f t="shared" si="2"/>
        <v>40563.857032867701</v>
      </c>
      <c r="C117" s="284">
        <f t="shared" si="3"/>
        <v>35962.969725710449</v>
      </c>
      <c r="D117" s="284">
        <f t="shared" si="4"/>
        <v>4600.8873071572525</v>
      </c>
      <c r="E117" s="284">
        <f t="shared" si="5"/>
        <v>6900289.3000292489</v>
      </c>
      <c r="F117" s="283">
        <v>5</v>
      </c>
      <c r="G117" s="278"/>
      <c r="H117" s="272"/>
      <c r="I117" s="278"/>
    </row>
    <row r="118" spans="1:9">
      <c r="A118" s="745">
        <v>63</v>
      </c>
      <c r="B118" s="284">
        <f t="shared" si="2"/>
        <v>40563.857032867701</v>
      </c>
      <c r="C118" s="284">
        <f t="shared" si="3"/>
        <v>35939.006770985674</v>
      </c>
      <c r="D118" s="284">
        <f t="shared" si="4"/>
        <v>4624.8502618820276</v>
      </c>
      <c r="E118" s="284">
        <f t="shared" si="5"/>
        <v>6895664.449767367</v>
      </c>
      <c r="F118" s="283"/>
      <c r="G118" s="278"/>
      <c r="H118" s="272"/>
      <c r="I118" s="278"/>
    </row>
    <row r="119" spans="1:9">
      <c r="A119" s="745">
        <v>64</v>
      </c>
      <c r="B119" s="284">
        <f t="shared" si="2"/>
        <v>40563.857032867701</v>
      </c>
      <c r="C119" s="284">
        <f t="shared" si="3"/>
        <v>35914.919009205034</v>
      </c>
      <c r="D119" s="284">
        <f t="shared" si="4"/>
        <v>4648.9380236626675</v>
      </c>
      <c r="E119" s="284">
        <f t="shared" si="5"/>
        <v>6891015.5117437039</v>
      </c>
      <c r="F119" s="283"/>
      <c r="G119" s="278"/>
      <c r="H119" s="272"/>
      <c r="I119" s="278"/>
    </row>
    <row r="120" spans="1:9">
      <c r="A120" s="745">
        <v>65</v>
      </c>
      <c r="B120" s="284">
        <f t="shared" ref="B120:B183" si="6">IF(A120&gt;12*$D$14,0,$D$20)</f>
        <v>40563.857032867701</v>
      </c>
      <c r="C120" s="284">
        <f t="shared" ref="C120:C183" si="7">IF(A120&gt;12*$D$14,0,E119*$D$10/12)</f>
        <v>35890.705790331791</v>
      </c>
      <c r="D120" s="284">
        <f t="shared" ref="D120:D183" si="8">IF(A120&gt;12*$D$14,0,B120-C120)</f>
        <v>4673.1512425359106</v>
      </c>
      <c r="E120" s="284">
        <f t="shared" ref="E120:E183" si="9">IF(A120&gt;12*$D$14,0,E119-D120)</f>
        <v>6886342.3605011683</v>
      </c>
      <c r="F120" s="283"/>
      <c r="G120" s="278"/>
      <c r="H120" s="272"/>
      <c r="I120" s="278"/>
    </row>
    <row r="121" spans="1:9">
      <c r="A121" s="745">
        <v>66</v>
      </c>
      <c r="B121" s="284">
        <f t="shared" si="6"/>
        <v>40563.857032867701</v>
      </c>
      <c r="C121" s="284">
        <f t="shared" si="7"/>
        <v>35866.366460943587</v>
      </c>
      <c r="D121" s="284">
        <f t="shared" si="8"/>
        <v>4697.4905719241142</v>
      </c>
      <c r="E121" s="284">
        <f t="shared" si="9"/>
        <v>6881644.8699292438</v>
      </c>
      <c r="F121" s="283"/>
      <c r="G121" s="335"/>
      <c r="H121" s="291"/>
      <c r="I121" s="278"/>
    </row>
    <row r="122" spans="1:9">
      <c r="A122" s="745">
        <v>67</v>
      </c>
      <c r="B122" s="284">
        <f t="shared" si="6"/>
        <v>40563.857032867701</v>
      </c>
      <c r="C122" s="284">
        <f t="shared" si="7"/>
        <v>35841.900364214809</v>
      </c>
      <c r="D122" s="284">
        <f t="shared" si="8"/>
        <v>4721.9566686528924</v>
      </c>
      <c r="E122" s="284">
        <f t="shared" si="9"/>
        <v>6876922.9132605912</v>
      </c>
      <c r="F122" s="283"/>
      <c r="G122" s="278"/>
      <c r="H122" s="272"/>
      <c r="I122" s="278"/>
    </row>
    <row r="123" spans="1:9">
      <c r="A123" s="745">
        <v>68</v>
      </c>
      <c r="B123" s="284">
        <f t="shared" si="6"/>
        <v>40563.857032867701</v>
      </c>
      <c r="C123" s="284">
        <f t="shared" si="7"/>
        <v>35817.306839898913</v>
      </c>
      <c r="D123" s="284">
        <f t="shared" si="8"/>
        <v>4746.5501929687889</v>
      </c>
      <c r="E123" s="284">
        <f t="shared" si="9"/>
        <v>6872176.3630676223</v>
      </c>
      <c r="F123" s="283"/>
      <c r="G123" s="278"/>
      <c r="H123" s="272"/>
      <c r="I123" s="278"/>
    </row>
    <row r="124" spans="1:9">
      <c r="A124" s="745">
        <v>69</v>
      </c>
      <c r="B124" s="284">
        <f t="shared" si="6"/>
        <v>40563.857032867701</v>
      </c>
      <c r="C124" s="284">
        <f t="shared" si="7"/>
        <v>35792.585224310533</v>
      </c>
      <c r="D124" s="284">
        <f t="shared" si="8"/>
        <v>4771.2718085571687</v>
      </c>
      <c r="E124" s="284">
        <f t="shared" si="9"/>
        <v>6867405.0912590651</v>
      </c>
      <c r="F124" s="283"/>
      <c r="G124" s="278"/>
      <c r="H124" s="272"/>
      <c r="I124" s="278"/>
    </row>
    <row r="125" spans="1:9">
      <c r="A125" s="745">
        <v>70</v>
      </c>
      <c r="B125" s="284">
        <f t="shared" si="6"/>
        <v>40563.857032867701</v>
      </c>
      <c r="C125" s="284">
        <f t="shared" si="7"/>
        <v>35767.734850307628</v>
      </c>
      <c r="D125" s="284">
        <f t="shared" si="8"/>
        <v>4796.1221825600733</v>
      </c>
      <c r="E125" s="284">
        <f t="shared" si="9"/>
        <v>6862608.9690765049</v>
      </c>
      <c r="F125" s="283"/>
      <c r="G125" s="278"/>
      <c r="H125" s="272"/>
      <c r="I125" s="278"/>
    </row>
    <row r="126" spans="1:9">
      <c r="A126" s="745">
        <v>71</v>
      </c>
      <c r="B126" s="284">
        <f t="shared" si="6"/>
        <v>40563.857032867701</v>
      </c>
      <c r="C126" s="284">
        <f t="shared" si="7"/>
        <v>35742.755047273466</v>
      </c>
      <c r="D126" s="284">
        <f t="shared" si="8"/>
        <v>4821.1019855942359</v>
      </c>
      <c r="E126" s="284">
        <f t="shared" si="9"/>
        <v>6857787.8670909107</v>
      </c>
      <c r="F126" s="283"/>
      <c r="G126" s="278"/>
      <c r="H126" s="272"/>
      <c r="I126" s="278"/>
    </row>
    <row r="127" spans="1:9">
      <c r="A127" s="745">
        <v>72</v>
      </c>
      <c r="B127" s="284">
        <f t="shared" si="6"/>
        <v>40563.857032867701</v>
      </c>
      <c r="C127" s="284">
        <f t="shared" si="7"/>
        <v>35717.645141098496</v>
      </c>
      <c r="D127" s="284">
        <f t="shared" si="8"/>
        <v>4846.211891769206</v>
      </c>
      <c r="E127" s="284">
        <f t="shared" si="9"/>
        <v>6852941.6551991412</v>
      </c>
      <c r="F127" s="283"/>
      <c r="G127" s="335"/>
      <c r="H127" s="291"/>
      <c r="I127" s="335"/>
    </row>
    <row r="128" spans="1:9">
      <c r="A128" s="745">
        <v>73</v>
      </c>
      <c r="B128" s="284">
        <f t="shared" si="6"/>
        <v>40563.857032867701</v>
      </c>
      <c r="C128" s="284">
        <f t="shared" si="7"/>
        <v>35692.404454162192</v>
      </c>
      <c r="D128" s="284">
        <f t="shared" si="8"/>
        <v>4871.4525787055099</v>
      </c>
      <c r="E128" s="284">
        <f t="shared" si="9"/>
        <v>6848070.2026204355</v>
      </c>
      <c r="F128" s="283"/>
      <c r="G128" s="278"/>
      <c r="H128" s="272"/>
      <c r="I128" s="335"/>
    </row>
    <row r="129" spans="1:9">
      <c r="A129" s="745">
        <v>74</v>
      </c>
      <c r="B129" s="284">
        <f t="shared" si="6"/>
        <v>40563.857032867701</v>
      </c>
      <c r="C129" s="284">
        <f t="shared" si="7"/>
        <v>35667.032305314766</v>
      </c>
      <c r="D129" s="284">
        <f t="shared" si="8"/>
        <v>4896.8247275529357</v>
      </c>
      <c r="E129" s="284">
        <f t="shared" si="9"/>
        <v>6843173.3778928826</v>
      </c>
      <c r="F129" s="283">
        <v>6</v>
      </c>
      <c r="G129" s="278"/>
      <c r="H129" s="272"/>
      <c r="I129" s="278"/>
    </row>
    <row r="130" spans="1:9">
      <c r="A130" s="745">
        <v>75</v>
      </c>
      <c r="B130" s="284">
        <f t="shared" si="6"/>
        <v>40563.857032867701</v>
      </c>
      <c r="C130" s="284">
        <f t="shared" si="7"/>
        <v>35641.528009858761</v>
      </c>
      <c r="D130" s="284">
        <f t="shared" si="8"/>
        <v>4922.3290230089406</v>
      </c>
      <c r="E130" s="284">
        <f t="shared" si="9"/>
        <v>6838251.0488698734</v>
      </c>
      <c r="F130" s="283"/>
      <c r="G130" s="278"/>
      <c r="H130" s="272"/>
      <c r="I130" s="278"/>
    </row>
    <row r="131" spans="1:9">
      <c r="A131" s="745">
        <v>76</v>
      </c>
      <c r="B131" s="284">
        <f t="shared" si="6"/>
        <v>40563.857032867701</v>
      </c>
      <c r="C131" s="284">
        <f t="shared" si="7"/>
        <v>35615.890879530591</v>
      </c>
      <c r="D131" s="284">
        <f t="shared" si="8"/>
        <v>4947.9661533371109</v>
      </c>
      <c r="E131" s="284">
        <f t="shared" si="9"/>
        <v>6833303.0827165367</v>
      </c>
      <c r="F131" s="283"/>
      <c r="G131" s="278"/>
      <c r="H131" s="272"/>
      <c r="I131" s="278"/>
    </row>
    <row r="132" spans="1:9">
      <c r="A132" s="745">
        <v>77</v>
      </c>
      <c r="B132" s="284">
        <f t="shared" si="6"/>
        <v>40563.857032867701</v>
      </c>
      <c r="C132" s="284">
        <f t="shared" si="7"/>
        <v>35590.120222481964</v>
      </c>
      <c r="D132" s="284">
        <f t="shared" si="8"/>
        <v>4973.736810385737</v>
      </c>
      <c r="E132" s="284">
        <f t="shared" si="9"/>
        <v>6828329.3459061505</v>
      </c>
      <c r="F132" s="283"/>
      <c r="G132" s="278"/>
      <c r="H132" s="272"/>
      <c r="I132" s="278"/>
    </row>
    <row r="133" spans="1:9">
      <c r="A133" s="745">
        <v>78</v>
      </c>
      <c r="B133" s="284">
        <f t="shared" si="6"/>
        <v>40563.857032867701</v>
      </c>
      <c r="C133" s="284">
        <f t="shared" si="7"/>
        <v>35564.215343261203</v>
      </c>
      <c r="D133" s="284">
        <f t="shared" si="8"/>
        <v>4999.6416896064984</v>
      </c>
      <c r="E133" s="284">
        <f t="shared" si="9"/>
        <v>6823329.7042165436</v>
      </c>
      <c r="F133" s="283"/>
      <c r="G133" s="335"/>
      <c r="H133" s="291"/>
      <c r="I133" s="278"/>
    </row>
    <row r="134" spans="1:9">
      <c r="A134" s="745">
        <v>79</v>
      </c>
      <c r="B134" s="284">
        <f t="shared" si="6"/>
        <v>40563.857032867701</v>
      </c>
      <c r="C134" s="284">
        <f t="shared" si="7"/>
        <v>35538.175542794495</v>
      </c>
      <c r="D134" s="284">
        <f t="shared" si="8"/>
        <v>5025.6814900732061</v>
      </c>
      <c r="E134" s="284">
        <f t="shared" si="9"/>
        <v>6818304.0227264706</v>
      </c>
      <c r="F134" s="283"/>
      <c r="G134" s="278"/>
      <c r="H134" s="272"/>
      <c r="I134" s="278"/>
    </row>
    <row r="135" spans="1:9">
      <c r="A135" s="745">
        <v>80</v>
      </c>
      <c r="B135" s="284">
        <f t="shared" si="6"/>
        <v>40563.857032867701</v>
      </c>
      <c r="C135" s="284">
        <f t="shared" si="7"/>
        <v>35512.000118367032</v>
      </c>
      <c r="D135" s="284">
        <f t="shared" si="8"/>
        <v>5051.8569145006695</v>
      </c>
      <c r="E135" s="284">
        <f t="shared" si="9"/>
        <v>6813252.1658119699</v>
      </c>
      <c r="F135" s="283"/>
      <c r="G135" s="278"/>
      <c r="H135" s="272"/>
      <c r="I135" s="278"/>
    </row>
    <row r="136" spans="1:9">
      <c r="A136" s="745">
        <v>81</v>
      </c>
      <c r="B136" s="284">
        <f t="shared" si="6"/>
        <v>40563.857032867701</v>
      </c>
      <c r="C136" s="284">
        <f t="shared" si="7"/>
        <v>35485.688363604007</v>
      </c>
      <c r="D136" s="284">
        <f t="shared" si="8"/>
        <v>5078.168669263694</v>
      </c>
      <c r="E136" s="284">
        <f t="shared" si="9"/>
        <v>6808173.9971427061</v>
      </c>
      <c r="F136" s="283"/>
      <c r="G136" s="278"/>
      <c r="H136" s="272"/>
      <c r="I136" s="278"/>
    </row>
    <row r="137" spans="1:9">
      <c r="A137" s="745">
        <v>82</v>
      </c>
      <c r="B137" s="284">
        <f t="shared" si="6"/>
        <v>40563.857032867701</v>
      </c>
      <c r="C137" s="284">
        <f t="shared" si="7"/>
        <v>35459.239568451594</v>
      </c>
      <c r="D137" s="284">
        <f t="shared" si="8"/>
        <v>5104.6174644161074</v>
      </c>
      <c r="E137" s="284">
        <f t="shared" si="9"/>
        <v>6803069.3796782903</v>
      </c>
      <c r="F137" s="283"/>
      <c r="G137" s="278"/>
      <c r="H137" s="272"/>
      <c r="I137" s="278"/>
    </row>
    <row r="138" spans="1:9">
      <c r="A138" s="745">
        <v>83</v>
      </c>
      <c r="B138" s="284">
        <f t="shared" si="6"/>
        <v>40563.857032867701</v>
      </c>
      <c r="C138" s="284">
        <f t="shared" si="7"/>
        <v>35432.653019157762</v>
      </c>
      <c r="D138" s="284">
        <f t="shared" si="8"/>
        <v>5131.2040137099393</v>
      </c>
      <c r="E138" s="284">
        <f t="shared" si="9"/>
        <v>6797938.1756645804</v>
      </c>
      <c r="F138" s="283"/>
      <c r="G138" s="278"/>
      <c r="H138" s="272"/>
      <c r="I138" s="278"/>
    </row>
    <row r="139" spans="1:9">
      <c r="A139" s="745">
        <v>84</v>
      </c>
      <c r="B139" s="284">
        <f t="shared" si="6"/>
        <v>40563.857032867701</v>
      </c>
      <c r="C139" s="284">
        <f t="shared" si="7"/>
        <v>35405.927998253021</v>
      </c>
      <c r="D139" s="284">
        <f t="shared" si="8"/>
        <v>5157.9290346146809</v>
      </c>
      <c r="E139" s="284">
        <f t="shared" si="9"/>
        <v>6792780.2466299655</v>
      </c>
      <c r="F139" s="283">
        <v>7</v>
      </c>
      <c r="G139" s="335"/>
      <c r="H139" s="291"/>
      <c r="I139" s="335"/>
    </row>
    <row r="140" spans="1:9">
      <c r="A140" s="745">
        <v>85</v>
      </c>
      <c r="B140" s="284">
        <f t="shared" si="6"/>
        <v>40563.857032867701</v>
      </c>
      <c r="C140" s="284">
        <f t="shared" si="7"/>
        <v>35379.06378453107</v>
      </c>
      <c r="D140" s="284">
        <f t="shared" si="8"/>
        <v>5184.7932483366312</v>
      </c>
      <c r="E140" s="284">
        <f t="shared" si="9"/>
        <v>6787595.4533816287</v>
      </c>
      <c r="F140" s="283"/>
      <c r="G140" s="278"/>
      <c r="H140" s="272"/>
      <c r="I140" s="335"/>
    </row>
    <row r="141" spans="1:9">
      <c r="A141" s="745">
        <v>86</v>
      </c>
      <c r="B141" s="284">
        <f t="shared" si="6"/>
        <v>40563.857032867701</v>
      </c>
      <c r="C141" s="284">
        <f t="shared" si="7"/>
        <v>35352.059653029319</v>
      </c>
      <c r="D141" s="284">
        <f t="shared" si="8"/>
        <v>5211.7973798383828</v>
      </c>
      <c r="E141" s="284">
        <f t="shared" si="9"/>
        <v>6782383.6560017904</v>
      </c>
      <c r="F141" s="283"/>
      <c r="G141" s="278"/>
      <c r="H141" s="272"/>
      <c r="I141" s="278"/>
    </row>
    <row r="142" spans="1:9">
      <c r="A142" s="745">
        <v>87</v>
      </c>
      <c r="B142" s="284">
        <f t="shared" si="6"/>
        <v>40563.857032867701</v>
      </c>
      <c r="C142" s="284">
        <f t="shared" si="7"/>
        <v>35324.914875009323</v>
      </c>
      <c r="D142" s="284">
        <f t="shared" si="8"/>
        <v>5238.9421578583788</v>
      </c>
      <c r="E142" s="284">
        <f t="shared" si="9"/>
        <v>6777144.7138439324</v>
      </c>
      <c r="F142" s="283"/>
      <c r="G142" s="278"/>
      <c r="H142" s="272"/>
      <c r="I142" s="278"/>
    </row>
    <row r="143" spans="1:9">
      <c r="A143" s="745">
        <v>88</v>
      </c>
      <c r="B143" s="284">
        <f t="shared" si="6"/>
        <v>40563.857032867701</v>
      </c>
      <c r="C143" s="284">
        <f t="shared" si="7"/>
        <v>35297.62871793715</v>
      </c>
      <c r="D143" s="284">
        <f t="shared" si="8"/>
        <v>5266.2283149305513</v>
      </c>
      <c r="E143" s="284">
        <f t="shared" si="9"/>
        <v>6771878.4855290018</v>
      </c>
      <c r="F143" s="283"/>
      <c r="G143" s="278"/>
      <c r="H143" s="272"/>
      <c r="I143" s="278"/>
    </row>
    <row r="144" spans="1:9">
      <c r="A144" s="745">
        <v>89</v>
      </c>
      <c r="B144" s="284">
        <f t="shared" si="6"/>
        <v>40563.857032867701</v>
      </c>
      <c r="C144" s="284">
        <f t="shared" si="7"/>
        <v>35270.200445463553</v>
      </c>
      <c r="D144" s="284">
        <f t="shared" si="8"/>
        <v>5293.656587404148</v>
      </c>
      <c r="E144" s="284">
        <f t="shared" si="9"/>
        <v>6766584.8289415976</v>
      </c>
      <c r="F144" s="283"/>
      <c r="G144" s="278"/>
      <c r="H144" s="272"/>
      <c r="I144" s="278"/>
    </row>
    <row r="145" spans="1:9">
      <c r="A145" s="745">
        <v>90</v>
      </c>
      <c r="B145" s="284">
        <f t="shared" si="6"/>
        <v>40563.857032867701</v>
      </c>
      <c r="C145" s="284">
        <f t="shared" si="7"/>
        <v>35242.629317404157</v>
      </c>
      <c r="D145" s="284">
        <f t="shared" si="8"/>
        <v>5321.2277154635449</v>
      </c>
      <c r="E145" s="284">
        <f t="shared" si="9"/>
        <v>6761263.6012261342</v>
      </c>
      <c r="F145" s="283"/>
      <c r="G145" s="335"/>
      <c r="H145" s="291"/>
      <c r="I145" s="278"/>
    </row>
    <row r="146" spans="1:9">
      <c r="A146" s="745">
        <v>91</v>
      </c>
      <c r="B146" s="284">
        <f t="shared" si="6"/>
        <v>40563.857032867701</v>
      </c>
      <c r="C146" s="284">
        <f t="shared" si="7"/>
        <v>35214.914589719447</v>
      </c>
      <c r="D146" s="284">
        <f t="shared" si="8"/>
        <v>5348.9424431482548</v>
      </c>
      <c r="E146" s="284">
        <f t="shared" si="9"/>
        <v>6755914.658782986</v>
      </c>
      <c r="F146" s="283"/>
      <c r="G146" s="278"/>
      <c r="H146" s="272"/>
      <c r="I146" s="278"/>
    </row>
    <row r="147" spans="1:9">
      <c r="A147" s="745">
        <v>92</v>
      </c>
      <c r="B147" s="284">
        <f t="shared" si="6"/>
        <v>40563.857032867701</v>
      </c>
      <c r="C147" s="284">
        <f t="shared" si="7"/>
        <v>35187.055514494721</v>
      </c>
      <c r="D147" s="284">
        <f t="shared" si="8"/>
        <v>5376.8015183729804</v>
      </c>
      <c r="E147" s="284">
        <f t="shared" si="9"/>
        <v>6750537.8572646128</v>
      </c>
      <c r="F147" s="283"/>
      <c r="G147" s="278"/>
      <c r="H147" s="272"/>
      <c r="I147" s="278"/>
    </row>
    <row r="148" spans="1:9">
      <c r="A148" s="745">
        <v>93</v>
      </c>
      <c r="B148" s="284">
        <f t="shared" si="6"/>
        <v>40563.857032867701</v>
      </c>
      <c r="C148" s="284">
        <f t="shared" si="7"/>
        <v>35159.051339919861</v>
      </c>
      <c r="D148" s="284">
        <f t="shared" si="8"/>
        <v>5404.8056929478407</v>
      </c>
      <c r="E148" s="284">
        <f t="shared" si="9"/>
        <v>6745133.0515716653</v>
      </c>
      <c r="F148" s="283"/>
      <c r="G148" s="278"/>
      <c r="H148" s="272"/>
      <c r="I148" s="278"/>
    </row>
    <row r="149" spans="1:9">
      <c r="A149" s="745">
        <v>94</v>
      </c>
      <c r="B149" s="284">
        <f t="shared" si="6"/>
        <v>40563.857032867701</v>
      </c>
      <c r="C149" s="284">
        <f t="shared" si="7"/>
        <v>35130.901310269088</v>
      </c>
      <c r="D149" s="284">
        <f t="shared" si="8"/>
        <v>5432.9557225986136</v>
      </c>
      <c r="E149" s="284">
        <f t="shared" si="9"/>
        <v>6739700.095849067</v>
      </c>
      <c r="F149" s="283"/>
      <c r="G149" s="278"/>
      <c r="H149" s="272"/>
      <c r="I149" s="278"/>
    </row>
    <row r="150" spans="1:9">
      <c r="A150" s="745">
        <v>95</v>
      </c>
      <c r="B150" s="284">
        <f t="shared" si="6"/>
        <v>40563.857032867701</v>
      </c>
      <c r="C150" s="284">
        <f t="shared" si="7"/>
        <v>35102.604665880557</v>
      </c>
      <c r="D150" s="284">
        <f t="shared" si="8"/>
        <v>5461.2523669871443</v>
      </c>
      <c r="E150" s="284">
        <f t="shared" si="9"/>
        <v>6734238.8434820799</v>
      </c>
      <c r="F150" s="283"/>
      <c r="G150" s="278"/>
      <c r="H150" s="272"/>
      <c r="I150" s="278"/>
    </row>
    <row r="151" spans="1:9">
      <c r="A151" s="745">
        <v>96</v>
      </c>
      <c r="B151" s="284">
        <f t="shared" si="6"/>
        <v>40563.857032867701</v>
      </c>
      <c r="C151" s="284">
        <f t="shared" si="7"/>
        <v>35074.16064313583</v>
      </c>
      <c r="D151" s="284">
        <f t="shared" si="8"/>
        <v>5489.696389731871</v>
      </c>
      <c r="E151" s="284">
        <f t="shared" si="9"/>
        <v>6728749.147092348</v>
      </c>
      <c r="F151" s="283">
        <v>8</v>
      </c>
      <c r="G151" s="335"/>
      <c r="H151" s="291"/>
      <c r="I151" s="335"/>
    </row>
    <row r="152" spans="1:9">
      <c r="A152" s="745">
        <v>97</v>
      </c>
      <c r="B152" s="284">
        <f t="shared" si="6"/>
        <v>40563.857032867701</v>
      </c>
      <c r="C152" s="284">
        <f t="shared" si="7"/>
        <v>35045.568474439315</v>
      </c>
      <c r="D152" s="284">
        <f t="shared" si="8"/>
        <v>5518.2885584283868</v>
      </c>
      <c r="E152" s="284">
        <f t="shared" si="9"/>
        <v>6723230.8585339198</v>
      </c>
      <c r="F152" s="283"/>
      <c r="G152" s="278"/>
      <c r="H152" s="272"/>
      <c r="I152" s="335"/>
    </row>
    <row r="153" spans="1:9">
      <c r="A153" s="745">
        <v>98</v>
      </c>
      <c r="B153" s="284">
        <f t="shared" si="6"/>
        <v>40563.857032867701</v>
      </c>
      <c r="C153" s="284">
        <f t="shared" si="7"/>
        <v>35016.827388197496</v>
      </c>
      <c r="D153" s="284">
        <f t="shared" si="8"/>
        <v>5547.029644670205</v>
      </c>
      <c r="E153" s="284">
        <f t="shared" si="9"/>
        <v>6717683.8288892498</v>
      </c>
      <c r="F153" s="283"/>
      <c r="G153" s="278"/>
      <c r="H153" s="272"/>
      <c r="I153" s="278"/>
    </row>
    <row r="154" spans="1:9">
      <c r="A154" s="745">
        <v>99</v>
      </c>
      <c r="B154" s="284">
        <f t="shared" si="6"/>
        <v>40563.857032867701</v>
      </c>
      <c r="C154" s="284">
        <f t="shared" si="7"/>
        <v>34987.936608798176</v>
      </c>
      <c r="D154" s="284">
        <f t="shared" si="8"/>
        <v>5575.9204240695253</v>
      </c>
      <c r="E154" s="284">
        <f t="shared" si="9"/>
        <v>6712107.9084651805</v>
      </c>
      <c r="F154" s="283"/>
      <c r="G154" s="278"/>
      <c r="H154" s="272"/>
      <c r="I154" s="278"/>
    </row>
    <row r="155" spans="1:9">
      <c r="A155" s="745">
        <v>100</v>
      </c>
      <c r="B155" s="284">
        <f t="shared" si="6"/>
        <v>40563.857032867701</v>
      </c>
      <c r="C155" s="284">
        <f t="shared" si="7"/>
        <v>34958.895356589484</v>
      </c>
      <c r="D155" s="284">
        <f t="shared" si="8"/>
        <v>5604.9616762782171</v>
      </c>
      <c r="E155" s="284">
        <f t="shared" si="9"/>
        <v>6706502.9467889024</v>
      </c>
      <c r="F155" s="283"/>
      <c r="G155" s="278"/>
      <c r="H155" s="272"/>
      <c r="I155" s="278"/>
    </row>
    <row r="156" spans="1:9">
      <c r="A156" s="745">
        <v>101</v>
      </c>
      <c r="B156" s="284">
        <f t="shared" si="6"/>
        <v>40563.857032867701</v>
      </c>
      <c r="C156" s="284">
        <f t="shared" si="7"/>
        <v>34929.702847858869</v>
      </c>
      <c r="D156" s="284">
        <f t="shared" si="8"/>
        <v>5634.1541850088324</v>
      </c>
      <c r="E156" s="284">
        <f t="shared" si="9"/>
        <v>6700868.7926038932</v>
      </c>
      <c r="F156" s="283"/>
      <c r="G156" s="278"/>
      <c r="H156" s="272"/>
      <c r="I156" s="278"/>
    </row>
    <row r="157" spans="1:9">
      <c r="A157" s="745">
        <v>102</v>
      </c>
      <c r="B157" s="284">
        <f t="shared" si="6"/>
        <v>40563.857032867701</v>
      </c>
      <c r="C157" s="284">
        <f t="shared" si="7"/>
        <v>34900.358294811944</v>
      </c>
      <c r="D157" s="284">
        <f t="shared" si="8"/>
        <v>5663.4987380557577</v>
      </c>
      <c r="E157" s="284">
        <f t="shared" si="9"/>
        <v>6695205.2938658372</v>
      </c>
      <c r="F157" s="283"/>
      <c r="G157" s="335"/>
      <c r="H157" s="291"/>
      <c r="I157" s="278"/>
    </row>
    <row r="158" spans="1:9">
      <c r="A158" s="745">
        <v>103</v>
      </c>
      <c r="B158" s="284">
        <f t="shared" si="6"/>
        <v>40563.857032867701</v>
      </c>
      <c r="C158" s="284">
        <f t="shared" si="7"/>
        <v>34870.860905551235</v>
      </c>
      <c r="D158" s="284">
        <f t="shared" si="8"/>
        <v>5692.9961273164663</v>
      </c>
      <c r="E158" s="284">
        <f t="shared" si="9"/>
        <v>6689512.2977385204</v>
      </c>
      <c r="F158" s="283"/>
      <c r="G158" s="278"/>
      <c r="H158" s="272"/>
      <c r="I158" s="278"/>
    </row>
    <row r="159" spans="1:9">
      <c r="A159" s="745">
        <v>104</v>
      </c>
      <c r="B159" s="284">
        <f t="shared" si="6"/>
        <v>40563.857032867701</v>
      </c>
      <c r="C159" s="284">
        <f t="shared" si="7"/>
        <v>34841.209884054791</v>
      </c>
      <c r="D159" s="284">
        <f t="shared" si="8"/>
        <v>5722.64714881291</v>
      </c>
      <c r="E159" s="284">
        <f t="shared" si="9"/>
        <v>6683789.6505897073</v>
      </c>
      <c r="F159" s="283"/>
      <c r="G159" s="278"/>
      <c r="H159" s="272"/>
      <c r="I159" s="278"/>
    </row>
    <row r="160" spans="1:9">
      <c r="A160" s="745">
        <v>105</v>
      </c>
      <c r="B160" s="284">
        <f t="shared" si="6"/>
        <v>40563.857032867701</v>
      </c>
      <c r="C160" s="284">
        <f t="shared" si="7"/>
        <v>34811.404430154726</v>
      </c>
      <c r="D160" s="284">
        <f t="shared" si="8"/>
        <v>5752.4526027129759</v>
      </c>
      <c r="E160" s="284">
        <f t="shared" si="9"/>
        <v>6678037.1979869939</v>
      </c>
      <c r="F160" s="283"/>
      <c r="G160" s="278"/>
      <c r="H160" s="272"/>
      <c r="I160" s="278"/>
    </row>
    <row r="161" spans="1:9">
      <c r="A161" s="745">
        <v>106</v>
      </c>
      <c r="B161" s="284">
        <f t="shared" si="6"/>
        <v>40563.857032867701</v>
      </c>
      <c r="C161" s="284">
        <f t="shared" si="7"/>
        <v>34781.443739515591</v>
      </c>
      <c r="D161" s="284">
        <f t="shared" si="8"/>
        <v>5782.4132933521105</v>
      </c>
      <c r="E161" s="284">
        <f t="shared" si="9"/>
        <v>6672254.7846936416</v>
      </c>
      <c r="F161" s="283"/>
      <c r="G161" s="278"/>
      <c r="H161" s="272"/>
      <c r="I161" s="278"/>
    </row>
    <row r="162" spans="1:9">
      <c r="A162" s="745">
        <v>107</v>
      </c>
      <c r="B162" s="284">
        <f t="shared" si="6"/>
        <v>40563.857032867701</v>
      </c>
      <c r="C162" s="284">
        <f t="shared" si="7"/>
        <v>34751.327003612714</v>
      </c>
      <c r="D162" s="284">
        <f t="shared" si="8"/>
        <v>5812.5300292549873</v>
      </c>
      <c r="E162" s="284">
        <f t="shared" si="9"/>
        <v>6666442.2546643866</v>
      </c>
      <c r="F162" s="283"/>
      <c r="G162" s="278"/>
      <c r="H162" s="272"/>
      <c r="I162" s="278"/>
    </row>
    <row r="163" spans="1:9">
      <c r="A163" s="745">
        <v>108</v>
      </c>
      <c r="B163" s="284">
        <f t="shared" si="6"/>
        <v>40563.857032867701</v>
      </c>
      <c r="C163" s="284">
        <f t="shared" si="7"/>
        <v>34721.053409710345</v>
      </c>
      <c r="D163" s="284">
        <f t="shared" si="8"/>
        <v>5842.8036231573569</v>
      </c>
      <c r="E163" s="284">
        <f t="shared" si="9"/>
        <v>6660599.4510412291</v>
      </c>
      <c r="F163" s="283">
        <v>9</v>
      </c>
      <c r="G163" s="335"/>
      <c r="H163" s="291"/>
      <c r="I163" s="335"/>
    </row>
    <row r="164" spans="1:9">
      <c r="A164" s="745">
        <v>109</v>
      </c>
      <c r="B164" s="284">
        <f t="shared" si="6"/>
        <v>40563.857032867701</v>
      </c>
      <c r="C164" s="284">
        <f t="shared" si="7"/>
        <v>34690.622140839732</v>
      </c>
      <c r="D164" s="284">
        <f t="shared" si="8"/>
        <v>5873.2348920279692</v>
      </c>
      <c r="E164" s="284">
        <f t="shared" si="9"/>
        <v>6654726.2161492007</v>
      </c>
      <c r="F164" s="283"/>
      <c r="G164" s="278"/>
      <c r="H164" s="272"/>
      <c r="I164" s="335"/>
    </row>
    <row r="165" spans="1:9">
      <c r="A165" s="745">
        <v>110</v>
      </c>
      <c r="B165" s="284">
        <f t="shared" si="6"/>
        <v>40563.857032867701</v>
      </c>
      <c r="C165" s="284">
        <f t="shared" si="7"/>
        <v>34660.032375777089</v>
      </c>
      <c r="D165" s="284">
        <f t="shared" si="8"/>
        <v>5903.8246570906122</v>
      </c>
      <c r="E165" s="284">
        <f t="shared" si="9"/>
        <v>6648822.3914921097</v>
      </c>
      <c r="F165" s="283"/>
      <c r="G165" s="278"/>
      <c r="H165" s="272"/>
      <c r="I165" s="278"/>
    </row>
    <row r="166" spans="1:9">
      <c r="A166" s="745">
        <v>111</v>
      </c>
      <c r="B166" s="284">
        <f t="shared" si="6"/>
        <v>40563.857032867701</v>
      </c>
      <c r="C166" s="284">
        <f t="shared" si="7"/>
        <v>34629.283289021405</v>
      </c>
      <c r="D166" s="284">
        <f t="shared" si="8"/>
        <v>5934.5737438462966</v>
      </c>
      <c r="E166" s="284">
        <f t="shared" si="9"/>
        <v>6642887.8177482635</v>
      </c>
      <c r="F166" s="283"/>
      <c r="G166" s="278"/>
      <c r="H166" s="272"/>
      <c r="I166" s="278"/>
    </row>
    <row r="167" spans="1:9">
      <c r="A167" s="745">
        <v>112</v>
      </c>
      <c r="B167" s="284">
        <f t="shared" si="6"/>
        <v>40563.857032867701</v>
      </c>
      <c r="C167" s="284">
        <f t="shared" si="7"/>
        <v>34598.374050772203</v>
      </c>
      <c r="D167" s="284">
        <f t="shared" si="8"/>
        <v>5965.4829820954983</v>
      </c>
      <c r="E167" s="284">
        <f t="shared" si="9"/>
        <v>6636922.3347661681</v>
      </c>
      <c r="F167" s="283"/>
      <c r="G167" s="278"/>
      <c r="H167" s="272"/>
      <c r="I167" s="278"/>
    </row>
    <row r="168" spans="1:9">
      <c r="A168" s="745">
        <v>113</v>
      </c>
      <c r="B168" s="284">
        <f t="shared" si="6"/>
        <v>40563.857032867701</v>
      </c>
      <c r="C168" s="284">
        <f t="shared" si="7"/>
        <v>34567.303826907126</v>
      </c>
      <c r="D168" s="284">
        <f t="shared" si="8"/>
        <v>5996.5532059605757</v>
      </c>
      <c r="E168" s="284">
        <f t="shared" si="9"/>
        <v>6630925.7815602077</v>
      </c>
      <c r="F168" s="283"/>
      <c r="G168" s="278"/>
      <c r="H168" s="272"/>
      <c r="I168" s="278"/>
    </row>
    <row r="169" spans="1:9">
      <c r="A169" s="745">
        <v>114</v>
      </c>
      <c r="B169" s="284">
        <f t="shared" si="6"/>
        <v>40563.857032867701</v>
      </c>
      <c r="C169" s="284">
        <f t="shared" si="7"/>
        <v>34536.071778959413</v>
      </c>
      <c r="D169" s="284">
        <f t="shared" si="8"/>
        <v>6027.7852539082887</v>
      </c>
      <c r="E169" s="284">
        <f t="shared" si="9"/>
        <v>6624897.9963062992</v>
      </c>
      <c r="F169" s="283"/>
      <c r="G169" s="335"/>
      <c r="H169" s="291"/>
      <c r="I169" s="278"/>
    </row>
    <row r="170" spans="1:9">
      <c r="A170" s="745">
        <v>115</v>
      </c>
      <c r="B170" s="284">
        <f t="shared" si="6"/>
        <v>40563.857032867701</v>
      </c>
      <c r="C170" s="284">
        <f t="shared" si="7"/>
        <v>34504.677064095311</v>
      </c>
      <c r="D170" s="284">
        <f t="shared" si="8"/>
        <v>6059.1799687723906</v>
      </c>
      <c r="E170" s="284">
        <f t="shared" si="9"/>
        <v>6618838.8163375268</v>
      </c>
      <c r="F170" s="283"/>
      <c r="G170" s="278"/>
      <c r="H170" s="272"/>
      <c r="I170" s="278"/>
    </row>
    <row r="171" spans="1:9">
      <c r="A171" s="745">
        <v>116</v>
      </c>
      <c r="B171" s="284">
        <f t="shared" si="6"/>
        <v>40563.857032867701</v>
      </c>
      <c r="C171" s="284">
        <f t="shared" si="7"/>
        <v>34473.118835091285</v>
      </c>
      <c r="D171" s="284">
        <f t="shared" si="8"/>
        <v>6090.7381977764162</v>
      </c>
      <c r="E171" s="284">
        <f t="shared" si="9"/>
        <v>6612748.0781397503</v>
      </c>
      <c r="F171" s="283"/>
      <c r="G171" s="278"/>
      <c r="H171" s="272"/>
      <c r="I171" s="278"/>
    </row>
    <row r="172" spans="1:9">
      <c r="A172" s="745">
        <v>117</v>
      </c>
      <c r="B172" s="284">
        <f t="shared" si="6"/>
        <v>40563.857032867701</v>
      </c>
      <c r="C172" s="284">
        <f t="shared" si="7"/>
        <v>34441.396240311202</v>
      </c>
      <c r="D172" s="284">
        <f t="shared" si="8"/>
        <v>6122.4607925564997</v>
      </c>
      <c r="E172" s="284">
        <f t="shared" si="9"/>
        <v>6606625.6173471939</v>
      </c>
      <c r="F172" s="283"/>
      <c r="G172" s="278"/>
      <c r="H172" s="272"/>
      <c r="I172" s="278"/>
    </row>
    <row r="173" spans="1:9">
      <c r="A173" s="745">
        <v>118</v>
      </c>
      <c r="B173" s="284">
        <f t="shared" si="6"/>
        <v>40563.857032867701</v>
      </c>
      <c r="C173" s="284">
        <f t="shared" si="7"/>
        <v>34409.508423683299</v>
      </c>
      <c r="D173" s="284">
        <f t="shared" si="8"/>
        <v>6154.3486091844024</v>
      </c>
      <c r="E173" s="284">
        <f t="shared" si="9"/>
        <v>6600471.268738009</v>
      </c>
      <c r="F173" s="283"/>
      <c r="G173" s="278"/>
      <c r="H173" s="272"/>
      <c r="I173" s="278"/>
    </row>
    <row r="174" spans="1:9">
      <c r="A174" s="745">
        <v>119</v>
      </c>
      <c r="B174" s="284">
        <f t="shared" si="6"/>
        <v>40563.857032867701</v>
      </c>
      <c r="C174" s="284">
        <f t="shared" si="7"/>
        <v>34377.45452467713</v>
      </c>
      <c r="D174" s="284">
        <f t="shared" si="8"/>
        <v>6186.4025081905711</v>
      </c>
      <c r="E174" s="284">
        <f t="shared" si="9"/>
        <v>6594284.8662298182</v>
      </c>
      <c r="F174" s="283"/>
      <c r="G174" s="278"/>
      <c r="H174" s="272"/>
      <c r="I174" s="278"/>
    </row>
    <row r="175" spans="1:9">
      <c r="A175" s="745">
        <v>120</v>
      </c>
      <c r="B175" s="284">
        <f t="shared" si="6"/>
        <v>40563.857032867701</v>
      </c>
      <c r="C175" s="284">
        <f t="shared" si="7"/>
        <v>34345.233678280303</v>
      </c>
      <c r="D175" s="284">
        <f t="shared" si="8"/>
        <v>6218.6233545873984</v>
      </c>
      <c r="E175" s="284">
        <f t="shared" si="9"/>
        <v>6588066.2428752305</v>
      </c>
      <c r="F175" s="283">
        <v>10</v>
      </c>
      <c r="G175" s="335"/>
      <c r="H175" s="291"/>
      <c r="I175" s="335"/>
    </row>
    <row r="176" spans="1:9">
      <c r="A176" s="745">
        <v>121</v>
      </c>
      <c r="B176" s="284">
        <f t="shared" si="6"/>
        <v>40563.857032867701</v>
      </c>
      <c r="C176" s="284">
        <f t="shared" si="7"/>
        <v>34312.845014975159</v>
      </c>
      <c r="D176" s="284">
        <f t="shared" si="8"/>
        <v>6251.0120178925426</v>
      </c>
      <c r="E176" s="284">
        <f t="shared" si="9"/>
        <v>6581815.2308573378</v>
      </c>
      <c r="F176" s="283"/>
      <c r="G176" s="278"/>
      <c r="H176" s="272"/>
      <c r="I176" s="335"/>
    </row>
    <row r="177" spans="1:9">
      <c r="A177" s="745">
        <v>122</v>
      </c>
      <c r="B177" s="284">
        <f t="shared" si="6"/>
        <v>40563.857032867701</v>
      </c>
      <c r="C177" s="284">
        <f t="shared" si="7"/>
        <v>34280.287660715301</v>
      </c>
      <c r="D177" s="284">
        <f t="shared" si="8"/>
        <v>6283.5693721524003</v>
      </c>
      <c r="E177" s="284">
        <f t="shared" si="9"/>
        <v>6575531.6614851858</v>
      </c>
      <c r="F177" s="283"/>
      <c r="G177" s="278"/>
      <c r="H177" s="272"/>
      <c r="I177" s="278"/>
    </row>
    <row r="178" spans="1:9">
      <c r="A178" s="745">
        <v>123</v>
      </c>
      <c r="B178" s="284">
        <f t="shared" si="6"/>
        <v>40563.857032867701</v>
      </c>
      <c r="C178" s="284">
        <f t="shared" si="7"/>
        <v>34247.560736902007</v>
      </c>
      <c r="D178" s="284">
        <f t="shared" si="8"/>
        <v>6316.2962959656943</v>
      </c>
      <c r="E178" s="284">
        <f t="shared" si="9"/>
        <v>6569215.3651892198</v>
      </c>
      <c r="F178" s="283"/>
      <c r="G178" s="278"/>
      <c r="H178" s="272"/>
      <c r="I178" s="278"/>
    </row>
    <row r="179" spans="1:9">
      <c r="A179" s="745">
        <v>124</v>
      </c>
      <c r="B179" s="284">
        <f t="shared" si="6"/>
        <v>40563.857032867701</v>
      </c>
      <c r="C179" s="284">
        <f t="shared" si="7"/>
        <v>34214.663360360522</v>
      </c>
      <c r="D179" s="284">
        <f t="shared" si="8"/>
        <v>6349.1936725071791</v>
      </c>
      <c r="E179" s="284">
        <f t="shared" si="9"/>
        <v>6562866.1715167128</v>
      </c>
      <c r="F179" s="283"/>
      <c r="G179" s="278"/>
      <c r="H179" s="272"/>
      <c r="I179" s="278"/>
    </row>
    <row r="180" spans="1:9">
      <c r="A180" s="745">
        <v>125</v>
      </c>
      <c r="B180" s="284">
        <f t="shared" si="6"/>
        <v>40563.857032867701</v>
      </c>
      <c r="C180" s="284">
        <f t="shared" si="7"/>
        <v>34181.59464331621</v>
      </c>
      <c r="D180" s="284">
        <f t="shared" si="8"/>
        <v>6382.2623895514917</v>
      </c>
      <c r="E180" s="284">
        <f t="shared" si="9"/>
        <v>6556483.9091271609</v>
      </c>
      <c r="F180" s="283"/>
      <c r="G180" s="278"/>
      <c r="H180" s="272"/>
      <c r="I180" s="278"/>
    </row>
    <row r="181" spans="1:9">
      <c r="A181" s="745">
        <v>126</v>
      </c>
      <c r="B181" s="284">
        <f t="shared" si="6"/>
        <v>40563.857032867701</v>
      </c>
      <c r="C181" s="284">
        <f t="shared" si="7"/>
        <v>34148.353693370627</v>
      </c>
      <c r="D181" s="284">
        <f t="shared" si="8"/>
        <v>6415.5033394970742</v>
      </c>
      <c r="E181" s="284">
        <f t="shared" si="9"/>
        <v>6550068.4057876635</v>
      </c>
      <c r="F181" s="283"/>
      <c r="G181" s="335"/>
      <c r="H181" s="291"/>
      <c r="I181" s="278"/>
    </row>
    <row r="182" spans="1:9">
      <c r="A182" s="745">
        <v>127</v>
      </c>
      <c r="B182" s="284">
        <f t="shared" si="6"/>
        <v>40563.857032867701</v>
      </c>
      <c r="C182" s="284">
        <f t="shared" si="7"/>
        <v>34114.939613477414</v>
      </c>
      <c r="D182" s="284">
        <f t="shared" si="8"/>
        <v>6448.9174193902873</v>
      </c>
      <c r="E182" s="284">
        <f t="shared" si="9"/>
        <v>6543619.4883682728</v>
      </c>
      <c r="F182" s="283"/>
      <c r="G182" s="278"/>
      <c r="H182" s="272"/>
      <c r="I182" s="278"/>
    </row>
    <row r="183" spans="1:9">
      <c r="A183" s="745">
        <v>128</v>
      </c>
      <c r="B183" s="284">
        <f t="shared" si="6"/>
        <v>40563.857032867701</v>
      </c>
      <c r="C183" s="284">
        <f t="shared" si="7"/>
        <v>34081.351501918085</v>
      </c>
      <c r="D183" s="284">
        <f t="shared" si="8"/>
        <v>6482.5055309496165</v>
      </c>
      <c r="E183" s="284">
        <f t="shared" si="9"/>
        <v>6537136.9828373231</v>
      </c>
      <c r="F183" s="283"/>
      <c r="G183" s="278"/>
      <c r="H183" s="272"/>
      <c r="I183" s="278"/>
    </row>
    <row r="184" spans="1:9">
      <c r="A184" s="745">
        <v>129</v>
      </c>
      <c r="B184" s="284">
        <f t="shared" ref="B184:B247" si="10">IF(A184&gt;12*$D$14,0,$D$20)</f>
        <v>40563.857032867701</v>
      </c>
      <c r="C184" s="284">
        <f t="shared" ref="C184:C247" si="11">IF(A184&gt;12*$D$14,0,E183*$D$10/12)</f>
        <v>34047.588452277727</v>
      </c>
      <c r="D184" s="284">
        <f t="shared" ref="D184:D247" si="12">IF(A184&gt;12*$D$14,0,B184-C184)</f>
        <v>6516.2685805899746</v>
      </c>
      <c r="E184" s="284">
        <f t="shared" ref="E184:E247" si="13">IF(A184&gt;12*$D$14,0,E183-D184)</f>
        <v>6530620.7142567327</v>
      </c>
      <c r="F184" s="283"/>
      <c r="G184" s="278"/>
      <c r="H184" s="272"/>
      <c r="I184" s="278"/>
    </row>
    <row r="185" spans="1:9">
      <c r="A185" s="745">
        <v>130</v>
      </c>
      <c r="B185" s="284">
        <f t="shared" si="10"/>
        <v>40563.857032867701</v>
      </c>
      <c r="C185" s="284">
        <f t="shared" si="11"/>
        <v>34013.649553420481</v>
      </c>
      <c r="D185" s="284">
        <f t="shared" si="12"/>
        <v>6550.207479447221</v>
      </c>
      <c r="E185" s="284">
        <f t="shared" si="13"/>
        <v>6524070.5067772856</v>
      </c>
      <c r="F185" s="283"/>
      <c r="G185" s="278"/>
      <c r="H185" s="272"/>
      <c r="I185" s="278"/>
    </row>
    <row r="186" spans="1:9">
      <c r="A186" s="745">
        <v>131</v>
      </c>
      <c r="B186" s="284">
        <f t="shared" si="10"/>
        <v>40563.857032867701</v>
      </c>
      <c r="C186" s="284">
        <f t="shared" si="11"/>
        <v>33979.533889465027</v>
      </c>
      <c r="D186" s="284">
        <f t="shared" si="12"/>
        <v>6584.3231434026748</v>
      </c>
      <c r="E186" s="284">
        <f t="shared" si="13"/>
        <v>6517486.1836338826</v>
      </c>
      <c r="F186" s="283"/>
      <c r="G186" s="278"/>
      <c r="H186" s="272"/>
      <c r="I186" s="278"/>
    </row>
    <row r="187" spans="1:9">
      <c r="A187" s="745">
        <v>132</v>
      </c>
      <c r="B187" s="284">
        <f t="shared" si="10"/>
        <v>40563.857032867701</v>
      </c>
      <c r="C187" s="284">
        <f t="shared" si="11"/>
        <v>33945.240539759805</v>
      </c>
      <c r="D187" s="284">
        <f t="shared" si="12"/>
        <v>6618.6164931078965</v>
      </c>
      <c r="E187" s="284">
        <f t="shared" si="13"/>
        <v>6510867.5671407748</v>
      </c>
      <c r="F187" s="283">
        <v>11</v>
      </c>
      <c r="G187" s="335"/>
      <c r="H187" s="291"/>
      <c r="I187" s="335"/>
    </row>
    <row r="188" spans="1:9">
      <c r="A188" s="745">
        <v>133</v>
      </c>
      <c r="B188" s="284">
        <f t="shared" si="10"/>
        <v>40563.857032867701</v>
      </c>
      <c r="C188" s="284">
        <f t="shared" si="11"/>
        <v>33910.768578858202</v>
      </c>
      <c r="D188" s="284">
        <f t="shared" si="12"/>
        <v>6653.0884540094994</v>
      </c>
      <c r="E188" s="284">
        <f t="shared" si="13"/>
        <v>6504214.4786867648</v>
      </c>
      <c r="F188" s="283"/>
      <c r="G188" s="278"/>
      <c r="H188" s="272"/>
      <c r="I188" s="335"/>
    </row>
    <row r="189" spans="1:9">
      <c r="A189" s="745">
        <v>134</v>
      </c>
      <c r="B189" s="284">
        <f t="shared" si="10"/>
        <v>40563.857032867701</v>
      </c>
      <c r="C189" s="284">
        <f t="shared" si="11"/>
        <v>33876.117076493567</v>
      </c>
      <c r="D189" s="284">
        <f t="shared" si="12"/>
        <v>6687.7399563741346</v>
      </c>
      <c r="E189" s="284">
        <f t="shared" si="13"/>
        <v>6497526.7387303906</v>
      </c>
      <c r="F189" s="283"/>
      <c r="G189" s="278"/>
      <c r="H189" s="272"/>
      <c r="I189" s="278"/>
    </row>
    <row r="190" spans="1:9">
      <c r="A190" s="745">
        <v>135</v>
      </c>
      <c r="B190" s="284">
        <f t="shared" si="10"/>
        <v>40563.857032867701</v>
      </c>
      <c r="C190" s="284">
        <f t="shared" si="11"/>
        <v>33841.285097554115</v>
      </c>
      <c r="D190" s="284">
        <f t="shared" si="12"/>
        <v>6722.5719353135864</v>
      </c>
      <c r="E190" s="284">
        <f t="shared" si="13"/>
        <v>6490804.1667950768</v>
      </c>
      <c r="F190" s="283"/>
      <c r="G190" s="278"/>
      <c r="H190" s="272"/>
      <c r="I190" s="278"/>
    </row>
    <row r="191" spans="1:9">
      <c r="A191" s="745">
        <v>136</v>
      </c>
      <c r="B191" s="284">
        <f t="shared" si="10"/>
        <v>40563.857032867701</v>
      </c>
      <c r="C191" s="284">
        <f t="shared" si="11"/>
        <v>33806.271702057689</v>
      </c>
      <c r="D191" s="284">
        <f t="shared" si="12"/>
        <v>6757.5853308100122</v>
      </c>
      <c r="E191" s="284">
        <f t="shared" si="13"/>
        <v>6484046.5814642664</v>
      </c>
      <c r="F191" s="283"/>
      <c r="G191" s="278"/>
      <c r="H191" s="272"/>
      <c r="I191" s="278"/>
    </row>
    <row r="192" spans="1:9">
      <c r="A192" s="745">
        <v>137</v>
      </c>
      <c r="B192" s="284">
        <f t="shared" si="10"/>
        <v>40563.857032867701</v>
      </c>
      <c r="C192" s="284">
        <f t="shared" si="11"/>
        <v>33771.075945126388</v>
      </c>
      <c r="D192" s="284">
        <f t="shared" si="12"/>
        <v>6792.781087741314</v>
      </c>
      <c r="E192" s="284">
        <f t="shared" si="13"/>
        <v>6477253.8003765251</v>
      </c>
      <c r="F192" s="283"/>
      <c r="G192" s="278"/>
      <c r="H192" s="272"/>
      <c r="I192" s="278"/>
    </row>
    <row r="193" spans="1:9">
      <c r="A193" s="745">
        <v>138</v>
      </c>
      <c r="B193" s="284">
        <f t="shared" si="10"/>
        <v>40563.857032867701</v>
      </c>
      <c r="C193" s="284">
        <f t="shared" si="11"/>
        <v>33735.696876961068</v>
      </c>
      <c r="D193" s="284">
        <f t="shared" si="12"/>
        <v>6828.160155906633</v>
      </c>
      <c r="E193" s="284">
        <f t="shared" si="13"/>
        <v>6470425.6402206188</v>
      </c>
      <c r="F193" s="283"/>
      <c r="G193" s="335"/>
      <c r="H193" s="291"/>
      <c r="I193" s="278"/>
    </row>
    <row r="194" spans="1:9">
      <c r="A194" s="745">
        <v>139</v>
      </c>
      <c r="B194" s="284">
        <f t="shared" si="10"/>
        <v>40563.857032867701</v>
      </c>
      <c r="C194" s="284">
        <f t="shared" si="11"/>
        <v>33700.133542815725</v>
      </c>
      <c r="D194" s="284">
        <f t="shared" si="12"/>
        <v>6863.7234900519761</v>
      </c>
      <c r="E194" s="284">
        <f t="shared" si="13"/>
        <v>6463561.9167305669</v>
      </c>
      <c r="F194" s="283"/>
      <c r="G194" s="278"/>
      <c r="H194" s="272"/>
      <c r="I194" s="278"/>
    </row>
    <row r="195" spans="1:9">
      <c r="A195" s="745">
        <v>140</v>
      </c>
      <c r="B195" s="284">
        <f t="shared" si="10"/>
        <v>40563.857032867701</v>
      </c>
      <c r="C195" s="284">
        <f t="shared" si="11"/>
        <v>33664.3849829717</v>
      </c>
      <c r="D195" s="284">
        <f t="shared" si="12"/>
        <v>6899.4720498960014</v>
      </c>
      <c r="E195" s="284">
        <f t="shared" si="13"/>
        <v>6456662.4446806712</v>
      </c>
      <c r="F195" s="283"/>
      <c r="G195" s="278"/>
      <c r="H195" s="272"/>
      <c r="I195" s="278"/>
    </row>
    <row r="196" spans="1:9">
      <c r="A196" s="745">
        <v>141</v>
      </c>
      <c r="B196" s="284">
        <f t="shared" si="10"/>
        <v>40563.857032867701</v>
      </c>
      <c r="C196" s="284">
        <f t="shared" si="11"/>
        <v>33628.450232711832</v>
      </c>
      <c r="D196" s="284">
        <f t="shared" si="12"/>
        <v>6935.4068001558699</v>
      </c>
      <c r="E196" s="284">
        <f t="shared" si="13"/>
        <v>6449727.0378805157</v>
      </c>
      <c r="F196" s="283"/>
      <c r="G196" s="278"/>
      <c r="H196" s="272"/>
      <c r="I196" s="278"/>
    </row>
    <row r="197" spans="1:9">
      <c r="A197" s="745">
        <v>142</v>
      </c>
      <c r="B197" s="284">
        <f t="shared" si="10"/>
        <v>40563.857032867701</v>
      </c>
      <c r="C197" s="284">
        <f t="shared" si="11"/>
        <v>33592.32832229435</v>
      </c>
      <c r="D197" s="284">
        <f t="shared" si="12"/>
        <v>6971.5287105733514</v>
      </c>
      <c r="E197" s="284">
        <f t="shared" si="13"/>
        <v>6442755.5091699427</v>
      </c>
      <c r="F197" s="283"/>
      <c r="G197" s="278"/>
      <c r="H197" s="272"/>
      <c r="I197" s="278"/>
    </row>
    <row r="198" spans="1:9">
      <c r="A198" s="745">
        <v>143</v>
      </c>
      <c r="B198" s="284">
        <f t="shared" si="10"/>
        <v>40563.857032867701</v>
      </c>
      <c r="C198" s="284">
        <f t="shared" si="11"/>
        <v>33556.018276926785</v>
      </c>
      <c r="D198" s="284">
        <f t="shared" si="12"/>
        <v>7007.8387559409166</v>
      </c>
      <c r="E198" s="284">
        <f t="shared" si="13"/>
        <v>6435747.6704140017</v>
      </c>
      <c r="F198" s="283"/>
      <c r="G198" s="278"/>
      <c r="H198" s="272"/>
      <c r="I198" s="278"/>
    </row>
    <row r="199" spans="1:9">
      <c r="A199" s="336">
        <v>144</v>
      </c>
      <c r="B199" s="284">
        <f t="shared" si="10"/>
        <v>40563.857032867701</v>
      </c>
      <c r="C199" s="284">
        <f t="shared" si="11"/>
        <v>33519.51911673959</v>
      </c>
      <c r="D199" s="284">
        <f t="shared" si="12"/>
        <v>7044.3379161281118</v>
      </c>
      <c r="E199" s="284">
        <f t="shared" si="13"/>
        <v>6428703.3324978733</v>
      </c>
      <c r="F199" s="285">
        <v>12</v>
      </c>
      <c r="G199" s="335"/>
      <c r="H199" s="291"/>
      <c r="I199" s="335"/>
    </row>
    <row r="200" spans="1:9">
      <c r="A200" s="745">
        <v>145</v>
      </c>
      <c r="B200" s="284">
        <f t="shared" si="10"/>
        <v>40563.857032867701</v>
      </c>
      <c r="C200" s="284">
        <f t="shared" si="11"/>
        <v>33482.829856759759</v>
      </c>
      <c r="D200" s="284">
        <f t="shared" si="12"/>
        <v>7081.0271761079421</v>
      </c>
      <c r="E200" s="284">
        <f t="shared" si="13"/>
        <v>6421622.3053217651</v>
      </c>
      <c r="F200" s="283"/>
      <c r="G200" s="278"/>
      <c r="H200" s="272"/>
      <c r="I200" s="335"/>
    </row>
    <row r="201" spans="1:9">
      <c r="A201" s="745">
        <v>146</v>
      </c>
      <c r="B201" s="284">
        <f t="shared" si="10"/>
        <v>40563.857032867701</v>
      </c>
      <c r="C201" s="284">
        <f t="shared" si="11"/>
        <v>33445.949506884193</v>
      </c>
      <c r="D201" s="284">
        <f t="shared" si="12"/>
        <v>7117.9075259835081</v>
      </c>
      <c r="E201" s="284">
        <f t="shared" si="13"/>
        <v>6414504.3977957815</v>
      </c>
      <c r="F201" s="283"/>
      <c r="G201" s="278"/>
      <c r="H201" s="272"/>
      <c r="I201" s="278"/>
    </row>
    <row r="202" spans="1:9">
      <c r="A202" s="745">
        <v>147</v>
      </c>
      <c r="B202" s="284">
        <f t="shared" si="10"/>
        <v>40563.857032867701</v>
      </c>
      <c r="C202" s="284">
        <f t="shared" si="11"/>
        <v>33408.877071853029</v>
      </c>
      <c r="D202" s="284">
        <f t="shared" si="12"/>
        <v>7154.9799610146729</v>
      </c>
      <c r="E202" s="284">
        <f t="shared" si="13"/>
        <v>6407349.4178347671</v>
      </c>
      <c r="F202" s="283"/>
      <c r="G202" s="278"/>
      <c r="H202" s="272"/>
      <c r="I202" s="278"/>
    </row>
    <row r="203" spans="1:9">
      <c r="A203" s="745">
        <v>148</v>
      </c>
      <c r="B203" s="284">
        <f t="shared" si="10"/>
        <v>40563.857032867701</v>
      </c>
      <c r="C203" s="284">
        <f t="shared" si="11"/>
        <v>33371.611551222748</v>
      </c>
      <c r="D203" s="284">
        <f t="shared" si="12"/>
        <v>7192.2454816449535</v>
      </c>
      <c r="E203" s="284">
        <f t="shared" si="13"/>
        <v>6400157.1723531224</v>
      </c>
      <c r="F203" s="283"/>
      <c r="G203" s="278"/>
      <c r="H203" s="272"/>
      <c r="I203" s="278"/>
    </row>
    <row r="204" spans="1:9">
      <c r="A204" s="745">
        <v>149</v>
      </c>
      <c r="B204" s="284">
        <f t="shared" si="10"/>
        <v>40563.857032867701</v>
      </c>
      <c r="C204" s="284">
        <f t="shared" si="11"/>
        <v>33334.151939339179</v>
      </c>
      <c r="D204" s="284">
        <f t="shared" si="12"/>
        <v>7229.7050935285224</v>
      </c>
      <c r="E204" s="284">
        <f t="shared" si="13"/>
        <v>6392927.4672595942</v>
      </c>
      <c r="F204" s="283"/>
      <c r="G204" s="278"/>
      <c r="H204" s="272"/>
      <c r="I204" s="278"/>
    </row>
    <row r="205" spans="1:9">
      <c r="A205" s="745">
        <v>150</v>
      </c>
      <c r="B205" s="284">
        <f t="shared" si="10"/>
        <v>40563.857032867701</v>
      </c>
      <c r="C205" s="284">
        <f t="shared" si="11"/>
        <v>33296.497225310384</v>
      </c>
      <c r="D205" s="284">
        <f t="shared" si="12"/>
        <v>7267.3598075573173</v>
      </c>
      <c r="E205" s="284">
        <f t="shared" si="13"/>
        <v>6385660.1074520368</v>
      </c>
      <c r="F205" s="283"/>
      <c r="G205" s="335"/>
      <c r="H205" s="291"/>
      <c r="I205" s="278"/>
    </row>
    <row r="206" spans="1:9">
      <c r="A206" s="745">
        <v>151</v>
      </c>
      <c r="B206" s="284">
        <f t="shared" si="10"/>
        <v>40563.857032867701</v>
      </c>
      <c r="C206" s="284">
        <f t="shared" si="11"/>
        <v>33258.646392979361</v>
      </c>
      <c r="D206" s="284">
        <f t="shared" si="12"/>
        <v>7305.2106398883407</v>
      </c>
      <c r="E206" s="284">
        <f t="shared" si="13"/>
        <v>6378354.8968121484</v>
      </c>
      <c r="F206" s="283"/>
      <c r="G206" s="278"/>
      <c r="H206" s="272"/>
      <c r="I206" s="278"/>
    </row>
    <row r="207" spans="1:9">
      <c r="A207" s="745">
        <v>152</v>
      </c>
      <c r="B207" s="284">
        <f t="shared" si="10"/>
        <v>40563.857032867701</v>
      </c>
      <c r="C207" s="284">
        <f t="shared" si="11"/>
        <v>33220.598420896604</v>
      </c>
      <c r="D207" s="284">
        <f t="shared" si="12"/>
        <v>7343.2586119710977</v>
      </c>
      <c r="E207" s="284">
        <f t="shared" si="13"/>
        <v>6371011.6382001769</v>
      </c>
      <c r="F207" s="283"/>
      <c r="G207" s="278"/>
      <c r="H207" s="272"/>
      <c r="I207" s="278"/>
    </row>
    <row r="208" spans="1:9">
      <c r="A208" s="745">
        <v>153</v>
      </c>
      <c r="B208" s="284">
        <f t="shared" si="10"/>
        <v>40563.857032867701</v>
      </c>
      <c r="C208" s="284">
        <f t="shared" si="11"/>
        <v>33182.352282292588</v>
      </c>
      <c r="D208" s="284">
        <f t="shared" si="12"/>
        <v>7381.5047505751136</v>
      </c>
      <c r="E208" s="284">
        <f t="shared" si="13"/>
        <v>6363630.1334496019</v>
      </c>
      <c r="F208" s="283"/>
      <c r="G208" s="278"/>
      <c r="H208" s="272"/>
      <c r="I208" s="278"/>
    </row>
    <row r="209" spans="1:9">
      <c r="A209" s="745">
        <v>154</v>
      </c>
      <c r="B209" s="284">
        <f t="shared" si="10"/>
        <v>40563.857032867701</v>
      </c>
      <c r="C209" s="284">
        <f t="shared" si="11"/>
        <v>33143.90694505001</v>
      </c>
      <c r="D209" s="284">
        <f t="shared" si="12"/>
        <v>7419.9500878176914</v>
      </c>
      <c r="E209" s="284">
        <f t="shared" si="13"/>
        <v>6356210.1833617846</v>
      </c>
      <c r="F209" s="283"/>
      <c r="G209" s="278"/>
      <c r="H209" s="272"/>
      <c r="I209" s="278"/>
    </row>
    <row r="210" spans="1:9">
      <c r="A210" s="745">
        <v>155</v>
      </c>
      <c r="B210" s="284">
        <f t="shared" si="10"/>
        <v>40563.857032867701</v>
      </c>
      <c r="C210" s="284">
        <f t="shared" si="11"/>
        <v>33105.261371675959</v>
      </c>
      <c r="D210" s="284">
        <f t="shared" si="12"/>
        <v>7458.5956611917427</v>
      </c>
      <c r="E210" s="284">
        <f t="shared" si="13"/>
        <v>6348751.5877005924</v>
      </c>
      <c r="F210" s="283"/>
      <c r="G210" s="278"/>
      <c r="H210" s="272"/>
      <c r="I210" s="278"/>
    </row>
    <row r="211" spans="1:9">
      <c r="A211" s="336">
        <v>156</v>
      </c>
      <c r="B211" s="284">
        <f t="shared" si="10"/>
        <v>40563.857032867701</v>
      </c>
      <c r="C211" s="284">
        <f t="shared" si="11"/>
        <v>33066.414519273916</v>
      </c>
      <c r="D211" s="284">
        <f t="shared" si="12"/>
        <v>7497.4425135937854</v>
      </c>
      <c r="E211" s="284">
        <f t="shared" si="13"/>
        <v>6341254.1451869989</v>
      </c>
      <c r="F211" s="285">
        <v>13</v>
      </c>
      <c r="G211" s="335"/>
      <c r="H211" s="291"/>
      <c r="I211" s="335"/>
    </row>
    <row r="212" spans="1:9">
      <c r="A212" s="745">
        <v>157</v>
      </c>
      <c r="B212" s="284">
        <f t="shared" si="10"/>
        <v>40563.857032867701</v>
      </c>
      <c r="C212" s="284">
        <f t="shared" si="11"/>
        <v>33027.365339515622</v>
      </c>
      <c r="D212" s="284">
        <f t="shared" si="12"/>
        <v>7536.4916933520799</v>
      </c>
      <c r="E212" s="284">
        <f t="shared" si="13"/>
        <v>6333717.6534936465</v>
      </c>
      <c r="F212" s="283"/>
      <c r="G212" s="278"/>
      <c r="H212" s="272"/>
      <c r="I212" s="335"/>
    </row>
    <row r="213" spans="1:9">
      <c r="A213" s="745">
        <v>158</v>
      </c>
      <c r="B213" s="284">
        <f t="shared" si="10"/>
        <v>40563.857032867701</v>
      </c>
      <c r="C213" s="284">
        <f t="shared" si="11"/>
        <v>32988.11277861274</v>
      </c>
      <c r="D213" s="284">
        <f t="shared" si="12"/>
        <v>7575.7442542549616</v>
      </c>
      <c r="E213" s="284">
        <f t="shared" si="13"/>
        <v>6326141.9092393918</v>
      </c>
      <c r="F213" s="283"/>
      <c r="G213" s="278"/>
      <c r="H213" s="272"/>
      <c r="I213" s="278"/>
    </row>
    <row r="214" spans="1:9">
      <c r="A214" s="745">
        <v>159</v>
      </c>
      <c r="B214" s="284">
        <f t="shared" si="10"/>
        <v>40563.857032867701</v>
      </c>
      <c r="C214" s="284">
        <f t="shared" si="11"/>
        <v>32948.655777288499</v>
      </c>
      <c r="D214" s="284">
        <f t="shared" si="12"/>
        <v>7615.2012555792026</v>
      </c>
      <c r="E214" s="284">
        <f t="shared" si="13"/>
        <v>6318526.7079838123</v>
      </c>
      <c r="F214" s="283"/>
      <c r="G214" s="278"/>
      <c r="H214" s="272"/>
      <c r="I214" s="278"/>
    </row>
    <row r="215" spans="1:9">
      <c r="A215" s="745">
        <v>160</v>
      </c>
      <c r="B215" s="284">
        <f t="shared" si="10"/>
        <v>40563.857032867701</v>
      </c>
      <c r="C215" s="284">
        <f t="shared" si="11"/>
        <v>32908.993270749022</v>
      </c>
      <c r="D215" s="284">
        <f t="shared" si="12"/>
        <v>7654.863762118679</v>
      </c>
      <c r="E215" s="284">
        <f t="shared" si="13"/>
        <v>6310871.8442216935</v>
      </c>
      <c r="F215" s="283"/>
      <c r="G215" s="278"/>
      <c r="H215" s="272"/>
      <c r="I215" s="278"/>
    </row>
    <row r="216" spans="1:9">
      <c r="A216" s="745">
        <v>161</v>
      </c>
      <c r="B216" s="284">
        <f t="shared" si="10"/>
        <v>40563.857032867701</v>
      </c>
      <c r="C216" s="284">
        <f t="shared" si="11"/>
        <v>32869.124188654656</v>
      </c>
      <c r="D216" s="284">
        <f t="shared" si="12"/>
        <v>7694.7328442130456</v>
      </c>
      <c r="E216" s="284">
        <f t="shared" si="13"/>
        <v>6303177.1113774804</v>
      </c>
      <c r="F216" s="283"/>
      <c r="G216" s="278"/>
      <c r="H216" s="272"/>
      <c r="I216" s="278"/>
    </row>
    <row r="217" spans="1:9">
      <c r="A217" s="745">
        <v>162</v>
      </c>
      <c r="B217" s="284">
        <f t="shared" si="10"/>
        <v>40563.857032867701</v>
      </c>
      <c r="C217" s="284">
        <f t="shared" si="11"/>
        <v>32829.047455091044</v>
      </c>
      <c r="D217" s="284">
        <f t="shared" si="12"/>
        <v>7734.8095777766575</v>
      </c>
      <c r="E217" s="284">
        <f t="shared" si="13"/>
        <v>6295442.3017997034</v>
      </c>
      <c r="F217" s="283"/>
      <c r="G217" s="335"/>
      <c r="H217" s="291"/>
      <c r="I217" s="278"/>
    </row>
    <row r="218" spans="1:9">
      <c r="A218" s="745">
        <v>163</v>
      </c>
      <c r="B218" s="284">
        <f t="shared" si="10"/>
        <v>40563.857032867701</v>
      </c>
      <c r="C218" s="284">
        <f t="shared" si="11"/>
        <v>32788.761988540122</v>
      </c>
      <c r="D218" s="284">
        <f t="shared" si="12"/>
        <v>7775.0950443275797</v>
      </c>
      <c r="E218" s="284">
        <f t="shared" si="13"/>
        <v>6287667.2067553755</v>
      </c>
      <c r="F218" s="283"/>
      <c r="G218" s="278"/>
      <c r="H218" s="272"/>
      <c r="I218" s="278"/>
    </row>
    <row r="219" spans="1:9">
      <c r="A219" s="745">
        <v>164</v>
      </c>
      <c r="B219" s="284">
        <f t="shared" si="10"/>
        <v>40563.857032867701</v>
      </c>
      <c r="C219" s="284">
        <f t="shared" si="11"/>
        <v>32748.266701850913</v>
      </c>
      <c r="D219" s="284">
        <f t="shared" si="12"/>
        <v>7815.5903310167887</v>
      </c>
      <c r="E219" s="284">
        <f t="shared" si="13"/>
        <v>6279851.6164243584</v>
      </c>
      <c r="F219" s="283"/>
      <c r="G219" s="278"/>
      <c r="H219" s="272"/>
      <c r="I219" s="278"/>
    </row>
    <row r="220" spans="1:9">
      <c r="A220" s="745">
        <v>165</v>
      </c>
      <c r="B220" s="284">
        <f t="shared" si="10"/>
        <v>40563.857032867701</v>
      </c>
      <c r="C220" s="284">
        <f t="shared" si="11"/>
        <v>32707.560502210199</v>
      </c>
      <c r="D220" s="284">
        <f t="shared" si="12"/>
        <v>7856.2965306575024</v>
      </c>
      <c r="E220" s="284">
        <f t="shared" si="13"/>
        <v>6271995.319893701</v>
      </c>
      <c r="F220" s="283"/>
      <c r="G220" s="278"/>
      <c r="H220" s="272"/>
      <c r="I220" s="278"/>
    </row>
    <row r="221" spans="1:9">
      <c r="A221" s="745">
        <v>166</v>
      </c>
      <c r="B221" s="284">
        <f t="shared" si="10"/>
        <v>40563.857032867701</v>
      </c>
      <c r="C221" s="284">
        <f t="shared" si="11"/>
        <v>32666.642291113025</v>
      </c>
      <c r="D221" s="284">
        <f t="shared" si="12"/>
        <v>7897.2147417546767</v>
      </c>
      <c r="E221" s="284">
        <f t="shared" si="13"/>
        <v>6264098.1051519467</v>
      </c>
      <c r="F221" s="283"/>
      <c r="G221" s="278"/>
      <c r="H221" s="272"/>
      <c r="I221" s="278"/>
    </row>
    <row r="222" spans="1:9">
      <c r="A222" s="745">
        <v>167</v>
      </c>
      <c r="B222" s="284">
        <f t="shared" si="10"/>
        <v>40563.857032867701</v>
      </c>
      <c r="C222" s="284">
        <f t="shared" si="11"/>
        <v>32625.510964333054</v>
      </c>
      <c r="D222" s="284">
        <f t="shared" si="12"/>
        <v>7938.3460685346472</v>
      </c>
      <c r="E222" s="284">
        <f t="shared" si="13"/>
        <v>6256159.7590834117</v>
      </c>
      <c r="F222" s="283"/>
      <c r="G222" s="278"/>
      <c r="H222" s="272"/>
      <c r="I222" s="278"/>
    </row>
    <row r="223" spans="1:9">
      <c r="A223" s="336">
        <v>168</v>
      </c>
      <c r="B223" s="284">
        <f t="shared" si="10"/>
        <v>40563.857032867701</v>
      </c>
      <c r="C223" s="284">
        <f t="shared" si="11"/>
        <v>32584.165411892769</v>
      </c>
      <c r="D223" s="284">
        <f t="shared" si="12"/>
        <v>7979.6916209749324</v>
      </c>
      <c r="E223" s="284">
        <f t="shared" si="13"/>
        <v>6248180.0674624369</v>
      </c>
      <c r="F223" s="285">
        <v>14</v>
      </c>
      <c r="G223" s="335"/>
      <c r="H223" s="291"/>
      <c r="I223" s="335"/>
    </row>
    <row r="224" spans="1:9">
      <c r="A224" s="745">
        <v>169</v>
      </c>
      <c r="B224" s="284">
        <f t="shared" si="10"/>
        <v>40563.857032867701</v>
      </c>
      <c r="C224" s="284">
        <f t="shared" si="11"/>
        <v>32542.604518033524</v>
      </c>
      <c r="D224" s="284">
        <f t="shared" si="12"/>
        <v>8021.2525148341774</v>
      </c>
      <c r="E224" s="284">
        <f t="shared" si="13"/>
        <v>6240158.8149476023</v>
      </c>
      <c r="F224" s="283"/>
      <c r="G224" s="278"/>
      <c r="H224" s="272"/>
      <c r="I224" s="335"/>
    </row>
    <row r="225" spans="1:9">
      <c r="A225" s="745">
        <v>170</v>
      </c>
      <c r="B225" s="284">
        <f t="shared" si="10"/>
        <v>40563.857032867701</v>
      </c>
      <c r="C225" s="284">
        <f t="shared" si="11"/>
        <v>32500.827161185429</v>
      </c>
      <c r="D225" s="284">
        <f t="shared" si="12"/>
        <v>8063.0298716822726</v>
      </c>
      <c r="E225" s="284">
        <f t="shared" si="13"/>
        <v>6232095.7850759197</v>
      </c>
      <c r="F225" s="283"/>
      <c r="G225" s="278"/>
      <c r="H225" s="272"/>
      <c r="I225" s="278"/>
    </row>
    <row r="226" spans="1:9">
      <c r="A226" s="745">
        <v>171</v>
      </c>
      <c r="B226" s="284">
        <f t="shared" si="10"/>
        <v>40563.857032867701</v>
      </c>
      <c r="C226" s="284">
        <f t="shared" si="11"/>
        <v>32458.832213937083</v>
      </c>
      <c r="D226" s="284">
        <f t="shared" si="12"/>
        <v>8105.0248189306185</v>
      </c>
      <c r="E226" s="284">
        <f t="shared" si="13"/>
        <v>6223990.7602569889</v>
      </c>
      <c r="F226" s="283"/>
      <c r="G226" s="278"/>
      <c r="H226" s="272"/>
      <c r="I226" s="278"/>
    </row>
    <row r="227" spans="1:9">
      <c r="A227" s="745">
        <v>172</v>
      </c>
      <c r="B227" s="284">
        <f t="shared" si="10"/>
        <v>40563.857032867701</v>
      </c>
      <c r="C227" s="284">
        <f t="shared" si="11"/>
        <v>32416.618543005152</v>
      </c>
      <c r="D227" s="284">
        <f t="shared" si="12"/>
        <v>8147.2384898625496</v>
      </c>
      <c r="E227" s="284">
        <f t="shared" si="13"/>
        <v>6215843.5217671264</v>
      </c>
      <c r="F227" s="283"/>
      <c r="G227" s="278"/>
      <c r="H227" s="272"/>
      <c r="I227" s="278"/>
    </row>
    <row r="228" spans="1:9">
      <c r="A228" s="745">
        <v>173</v>
      </c>
      <c r="B228" s="284">
        <f t="shared" si="10"/>
        <v>40563.857032867701</v>
      </c>
      <c r="C228" s="284">
        <f t="shared" si="11"/>
        <v>32374.185009203782</v>
      </c>
      <c r="D228" s="284">
        <f t="shared" si="12"/>
        <v>8189.6720236639194</v>
      </c>
      <c r="E228" s="284">
        <f t="shared" si="13"/>
        <v>6207653.8497434622</v>
      </c>
      <c r="F228" s="283"/>
      <c r="G228" s="278"/>
      <c r="H228" s="272"/>
      <c r="I228" s="278"/>
    </row>
    <row r="229" spans="1:9">
      <c r="A229" s="745">
        <v>174</v>
      </c>
      <c r="B229" s="284">
        <f t="shared" si="10"/>
        <v>40563.857032867701</v>
      </c>
      <c r="C229" s="284">
        <f t="shared" si="11"/>
        <v>32331.530467413864</v>
      </c>
      <c r="D229" s="284">
        <f t="shared" si="12"/>
        <v>8232.3265654538372</v>
      </c>
      <c r="E229" s="284">
        <f t="shared" si="13"/>
        <v>6199421.5231780084</v>
      </c>
      <c r="F229" s="283"/>
      <c r="G229" s="335"/>
      <c r="H229" s="291"/>
      <c r="I229" s="278"/>
    </row>
    <row r="230" spans="1:9">
      <c r="A230" s="745">
        <v>175</v>
      </c>
      <c r="B230" s="284">
        <f t="shared" si="10"/>
        <v>40563.857032867701</v>
      </c>
      <c r="C230" s="284">
        <f t="shared" si="11"/>
        <v>32288.653766552128</v>
      </c>
      <c r="D230" s="284">
        <f t="shared" si="12"/>
        <v>8275.2032663155733</v>
      </c>
      <c r="E230" s="284">
        <f t="shared" si="13"/>
        <v>6191146.3199116932</v>
      </c>
      <c r="F230" s="283"/>
      <c r="G230" s="278"/>
      <c r="H230" s="272"/>
      <c r="I230" s="278"/>
    </row>
    <row r="231" spans="1:9">
      <c r="A231" s="745">
        <v>176</v>
      </c>
      <c r="B231" s="284">
        <f t="shared" si="10"/>
        <v>40563.857032867701</v>
      </c>
      <c r="C231" s="284">
        <f t="shared" si="11"/>
        <v>32245.553749540068</v>
      </c>
      <c r="D231" s="284">
        <f t="shared" si="12"/>
        <v>8318.3032833276338</v>
      </c>
      <c r="E231" s="284">
        <f t="shared" si="13"/>
        <v>6182828.016628366</v>
      </c>
      <c r="F231" s="283"/>
      <c r="G231" s="278"/>
      <c r="H231" s="272"/>
      <c r="I231" s="278"/>
    </row>
    <row r="232" spans="1:9">
      <c r="A232" s="745">
        <v>177</v>
      </c>
      <c r="B232" s="284">
        <f t="shared" si="10"/>
        <v>40563.857032867701</v>
      </c>
      <c r="C232" s="284">
        <f t="shared" si="11"/>
        <v>32202.229253272741</v>
      </c>
      <c r="D232" s="284">
        <f t="shared" si="12"/>
        <v>8361.6277795949609</v>
      </c>
      <c r="E232" s="284">
        <f t="shared" si="13"/>
        <v>6174466.3888487713</v>
      </c>
      <c r="F232" s="283"/>
      <c r="G232" s="278"/>
      <c r="H232" s="272"/>
      <c r="I232" s="278"/>
    </row>
    <row r="233" spans="1:9">
      <c r="A233" s="745">
        <v>178</v>
      </c>
      <c r="B233" s="284">
        <f t="shared" si="10"/>
        <v>40563.857032867701</v>
      </c>
      <c r="C233" s="284">
        <f t="shared" si="11"/>
        <v>32158.679108587352</v>
      </c>
      <c r="D233" s="284">
        <f t="shared" si="12"/>
        <v>8405.1779242803495</v>
      </c>
      <c r="E233" s="284">
        <f t="shared" si="13"/>
        <v>6166061.2109244913</v>
      </c>
      <c r="F233" s="283"/>
      <c r="G233" s="278"/>
      <c r="H233" s="272"/>
      <c r="I233" s="278"/>
    </row>
    <row r="234" spans="1:9">
      <c r="A234" s="745">
        <v>179</v>
      </c>
      <c r="B234" s="284">
        <f t="shared" si="10"/>
        <v>40563.857032867701</v>
      </c>
      <c r="C234" s="284">
        <f t="shared" si="11"/>
        <v>32114.902140231727</v>
      </c>
      <c r="D234" s="284">
        <f t="shared" si="12"/>
        <v>8448.9548926359748</v>
      </c>
      <c r="E234" s="284">
        <f t="shared" si="13"/>
        <v>6157612.256031855</v>
      </c>
      <c r="F234" s="283"/>
      <c r="G234" s="278"/>
      <c r="H234" s="272"/>
      <c r="I234" s="278"/>
    </row>
    <row r="235" spans="1:9">
      <c r="A235" s="336">
        <v>180</v>
      </c>
      <c r="B235" s="284">
        <f t="shared" si="10"/>
        <v>40563.857032867701</v>
      </c>
      <c r="C235" s="284">
        <f t="shared" si="11"/>
        <v>32070.897166832579</v>
      </c>
      <c r="D235" s="284">
        <f t="shared" si="12"/>
        <v>8492.9598660351221</v>
      </c>
      <c r="E235" s="284">
        <f t="shared" si="13"/>
        <v>6149119.2961658202</v>
      </c>
      <c r="F235" s="285">
        <v>15</v>
      </c>
      <c r="G235" s="335"/>
      <c r="H235" s="291"/>
      <c r="I235" s="335"/>
    </row>
    <row r="236" spans="1:9">
      <c r="A236" s="745">
        <v>181</v>
      </c>
      <c r="B236" s="284">
        <f t="shared" si="10"/>
        <v>40563.857032867701</v>
      </c>
      <c r="C236" s="284">
        <f t="shared" si="11"/>
        <v>32026.663000863646</v>
      </c>
      <c r="D236" s="284">
        <f t="shared" si="12"/>
        <v>8537.1940320040558</v>
      </c>
      <c r="E236" s="284">
        <f t="shared" si="13"/>
        <v>6140582.1021338161</v>
      </c>
      <c r="F236" s="283"/>
      <c r="G236" s="278"/>
      <c r="H236" s="272"/>
      <c r="I236" s="335"/>
    </row>
    <row r="237" spans="1:9">
      <c r="A237" s="336">
        <v>182</v>
      </c>
      <c r="B237" s="284">
        <f t="shared" si="10"/>
        <v>40563.857032867701</v>
      </c>
      <c r="C237" s="284">
        <f t="shared" si="11"/>
        <v>31982.198448613624</v>
      </c>
      <c r="D237" s="284">
        <f t="shared" si="12"/>
        <v>8581.6585842540771</v>
      </c>
      <c r="E237" s="284">
        <f t="shared" si="13"/>
        <v>6132000.4435495622</v>
      </c>
      <c r="F237" s="283"/>
      <c r="G237" s="278"/>
      <c r="H237" s="272"/>
      <c r="I237" s="278"/>
    </row>
    <row r="238" spans="1:9">
      <c r="A238" s="336">
        <v>183</v>
      </c>
      <c r="B238" s="284">
        <f t="shared" si="10"/>
        <v>40563.857032867701</v>
      </c>
      <c r="C238" s="284">
        <f t="shared" si="11"/>
        <v>31937.50231015397</v>
      </c>
      <c r="D238" s="284">
        <f t="shared" si="12"/>
        <v>8626.3547227137315</v>
      </c>
      <c r="E238" s="284">
        <f t="shared" si="13"/>
        <v>6123374.0888268482</v>
      </c>
      <c r="F238" s="283"/>
      <c r="G238" s="278"/>
      <c r="H238" s="272"/>
      <c r="I238" s="278"/>
    </row>
    <row r="239" spans="1:9">
      <c r="A239" s="336">
        <v>184</v>
      </c>
      <c r="B239" s="284">
        <f t="shared" si="10"/>
        <v>40563.857032867701</v>
      </c>
      <c r="C239" s="284">
        <f t="shared" si="11"/>
        <v>31892.573379306501</v>
      </c>
      <c r="D239" s="284">
        <f t="shared" si="12"/>
        <v>8671.2836535612005</v>
      </c>
      <c r="E239" s="284">
        <f t="shared" si="13"/>
        <v>6114702.8051732872</v>
      </c>
      <c r="F239" s="283"/>
      <c r="G239" s="278"/>
      <c r="H239" s="272"/>
      <c r="I239" s="278"/>
    </row>
    <row r="240" spans="1:9">
      <c r="A240" s="336">
        <v>185</v>
      </c>
      <c r="B240" s="284">
        <f t="shared" si="10"/>
        <v>40563.857032867701</v>
      </c>
      <c r="C240" s="284">
        <f t="shared" si="11"/>
        <v>31847.410443610872</v>
      </c>
      <c r="D240" s="284">
        <f t="shared" si="12"/>
        <v>8716.4465892568296</v>
      </c>
      <c r="E240" s="284">
        <f t="shared" si="13"/>
        <v>6105986.3585840305</v>
      </c>
      <c r="F240" s="283"/>
      <c r="G240" s="278"/>
      <c r="H240" s="272"/>
      <c r="I240" s="278"/>
    </row>
    <row r="241" spans="1:9">
      <c r="A241" s="336">
        <v>186</v>
      </c>
      <c r="B241" s="284">
        <f t="shared" si="10"/>
        <v>40563.857032867701</v>
      </c>
      <c r="C241" s="284">
        <f t="shared" si="11"/>
        <v>31802.012284291824</v>
      </c>
      <c r="D241" s="284">
        <f t="shared" si="12"/>
        <v>8761.844748575877</v>
      </c>
      <c r="E241" s="284">
        <f t="shared" si="13"/>
        <v>6097224.5138354544</v>
      </c>
      <c r="F241" s="283"/>
      <c r="G241" s="335"/>
      <c r="H241" s="291"/>
      <c r="I241" s="278"/>
    </row>
    <row r="242" spans="1:9">
      <c r="A242" s="336">
        <v>187</v>
      </c>
      <c r="B242" s="284">
        <f t="shared" si="10"/>
        <v>40563.857032867701</v>
      </c>
      <c r="C242" s="284">
        <f t="shared" si="11"/>
        <v>31756.377676226326</v>
      </c>
      <c r="D242" s="284">
        <f t="shared" si="12"/>
        <v>8807.4793566413755</v>
      </c>
      <c r="E242" s="284">
        <f t="shared" si="13"/>
        <v>6088417.0344788134</v>
      </c>
      <c r="F242" s="283"/>
      <c r="G242" s="278"/>
      <c r="H242" s="272"/>
      <c r="I242" s="278"/>
    </row>
    <row r="243" spans="1:9">
      <c r="A243" s="336">
        <v>188</v>
      </c>
      <c r="B243" s="284">
        <f t="shared" si="10"/>
        <v>40563.857032867701</v>
      </c>
      <c r="C243" s="284">
        <f t="shared" si="11"/>
        <v>31710.505387910485</v>
      </c>
      <c r="D243" s="284">
        <f t="shared" si="12"/>
        <v>8853.3516449572162</v>
      </c>
      <c r="E243" s="284">
        <f t="shared" si="13"/>
        <v>6079563.682833856</v>
      </c>
      <c r="F243" s="283"/>
      <c r="G243" s="278"/>
      <c r="H243" s="272"/>
      <c r="I243" s="278"/>
    </row>
    <row r="244" spans="1:9">
      <c r="A244" s="336">
        <v>189</v>
      </c>
      <c r="B244" s="284">
        <f t="shared" si="10"/>
        <v>40563.857032867701</v>
      </c>
      <c r="C244" s="284">
        <f t="shared" si="11"/>
        <v>31664.394181426334</v>
      </c>
      <c r="D244" s="284">
        <f t="shared" si="12"/>
        <v>8899.4628514413671</v>
      </c>
      <c r="E244" s="284">
        <f t="shared" si="13"/>
        <v>6070664.2199824145</v>
      </c>
      <c r="F244" s="283"/>
      <c r="G244" s="278"/>
      <c r="H244" s="272"/>
      <c r="I244" s="278"/>
    </row>
    <row r="245" spans="1:9">
      <c r="A245" s="336">
        <v>190</v>
      </c>
      <c r="B245" s="284">
        <f t="shared" si="10"/>
        <v>40563.857032867701</v>
      </c>
      <c r="C245" s="284">
        <f t="shared" si="11"/>
        <v>31618.04281240841</v>
      </c>
      <c r="D245" s="284">
        <f t="shared" si="12"/>
        <v>8945.8142204592914</v>
      </c>
      <c r="E245" s="284">
        <f t="shared" si="13"/>
        <v>6061718.4057619553</v>
      </c>
      <c r="F245" s="283"/>
      <c r="G245" s="278"/>
      <c r="H245" s="272"/>
      <c r="I245" s="278"/>
    </row>
    <row r="246" spans="1:9">
      <c r="A246" s="336">
        <v>191</v>
      </c>
      <c r="B246" s="284">
        <f t="shared" si="10"/>
        <v>40563.857032867701</v>
      </c>
      <c r="C246" s="284">
        <f t="shared" si="11"/>
        <v>31571.450030010183</v>
      </c>
      <c r="D246" s="284">
        <f t="shared" si="12"/>
        <v>8992.4070028575188</v>
      </c>
      <c r="E246" s="284">
        <f t="shared" si="13"/>
        <v>6052725.9987590974</v>
      </c>
      <c r="F246" s="283"/>
      <c r="G246" s="278"/>
      <c r="H246" s="272"/>
      <c r="I246" s="278"/>
    </row>
    <row r="247" spans="1:9">
      <c r="A247" s="336">
        <v>192</v>
      </c>
      <c r="B247" s="284">
        <f t="shared" si="10"/>
        <v>40563.857032867701</v>
      </c>
      <c r="C247" s="284">
        <f t="shared" si="11"/>
        <v>31524.614576870299</v>
      </c>
      <c r="D247" s="284">
        <f t="shared" si="12"/>
        <v>9039.2424559974024</v>
      </c>
      <c r="E247" s="284">
        <f t="shared" si="13"/>
        <v>6043686.7563030999</v>
      </c>
      <c r="F247" s="283">
        <v>16</v>
      </c>
      <c r="G247" s="335"/>
      <c r="H247" s="291"/>
      <c r="I247" s="335"/>
    </row>
    <row r="248" spans="1:9">
      <c r="A248" s="336">
        <v>193</v>
      </c>
      <c r="B248" s="284">
        <f t="shared" ref="B248:B311" si="14">IF(A248&gt;12*$D$14,0,$D$20)</f>
        <v>40563.857032867701</v>
      </c>
      <c r="C248" s="284">
        <f t="shared" ref="C248:C311" si="15">IF(A248&gt;12*$D$14,0,E247*$D$10/12)</f>
        <v>31477.535189078644</v>
      </c>
      <c r="D248" s="284">
        <f t="shared" ref="D248:D311" si="16">IF(A248&gt;12*$D$14,0,B248-C248)</f>
        <v>9086.3218437890573</v>
      </c>
      <c r="E248" s="284">
        <f t="shared" ref="E248:E311" si="17">IF(A248&gt;12*$D$14,0,E247-D248)</f>
        <v>6034600.434459311</v>
      </c>
      <c r="F248" s="283"/>
      <c r="G248" s="278"/>
      <c r="H248" s="272"/>
      <c r="I248" s="335"/>
    </row>
    <row r="249" spans="1:9">
      <c r="A249" s="336">
        <v>194</v>
      </c>
      <c r="B249" s="284">
        <f t="shared" si="14"/>
        <v>40563.857032867701</v>
      </c>
      <c r="C249" s="284">
        <f t="shared" si="15"/>
        <v>31430.210596142246</v>
      </c>
      <c r="D249" s="284">
        <f t="shared" si="16"/>
        <v>9133.6464367254557</v>
      </c>
      <c r="E249" s="284">
        <f t="shared" si="17"/>
        <v>6025466.7880225852</v>
      </c>
      <c r="F249" s="283"/>
      <c r="G249" s="278"/>
      <c r="H249" s="272"/>
      <c r="I249" s="278"/>
    </row>
    <row r="250" spans="1:9">
      <c r="A250" s="336">
        <v>195</v>
      </c>
      <c r="B250" s="284">
        <f t="shared" si="14"/>
        <v>40563.857032867701</v>
      </c>
      <c r="C250" s="284">
        <f t="shared" si="15"/>
        <v>31382.639520950965</v>
      </c>
      <c r="D250" s="284">
        <f t="shared" si="16"/>
        <v>9181.2175119167368</v>
      </c>
      <c r="E250" s="284">
        <f t="shared" si="17"/>
        <v>6016285.5705106687</v>
      </c>
      <c r="F250" s="283"/>
      <c r="G250" s="278"/>
      <c r="H250" s="272"/>
      <c r="I250" s="278"/>
    </row>
    <row r="251" spans="1:9">
      <c r="A251" s="336">
        <v>196</v>
      </c>
      <c r="B251" s="284">
        <f t="shared" si="14"/>
        <v>40563.857032867701</v>
      </c>
      <c r="C251" s="284">
        <f t="shared" si="15"/>
        <v>31334.820679743065</v>
      </c>
      <c r="D251" s="284">
        <f t="shared" si="16"/>
        <v>9229.0363531246367</v>
      </c>
      <c r="E251" s="284">
        <f t="shared" si="17"/>
        <v>6007056.5341575444</v>
      </c>
      <c r="F251" s="283"/>
      <c r="G251" s="278"/>
      <c r="H251" s="272"/>
      <c r="I251" s="278"/>
    </row>
    <row r="252" spans="1:9">
      <c r="A252" s="336">
        <v>197</v>
      </c>
      <c r="B252" s="284">
        <f t="shared" si="14"/>
        <v>40563.857032867701</v>
      </c>
      <c r="C252" s="284">
        <f t="shared" si="15"/>
        <v>31286.752782070544</v>
      </c>
      <c r="D252" s="284">
        <f t="shared" si="16"/>
        <v>9277.1042507971579</v>
      </c>
      <c r="E252" s="284">
        <f t="shared" si="17"/>
        <v>5997779.4299067473</v>
      </c>
      <c r="F252" s="283"/>
      <c r="G252" s="278"/>
      <c r="H252" s="272"/>
      <c r="I252" s="278"/>
    </row>
    <row r="253" spans="1:9">
      <c r="A253" s="336">
        <v>198</v>
      </c>
      <c r="B253" s="284">
        <f t="shared" si="14"/>
        <v>40563.857032867701</v>
      </c>
      <c r="C253" s="284">
        <f t="shared" si="15"/>
        <v>31238.434530764309</v>
      </c>
      <c r="D253" s="284">
        <f t="shared" si="16"/>
        <v>9325.4225021033926</v>
      </c>
      <c r="E253" s="284">
        <f t="shared" si="17"/>
        <v>5988454.007404644</v>
      </c>
      <c r="F253" s="283"/>
      <c r="G253" s="335"/>
      <c r="H253" s="291"/>
      <c r="I253" s="278"/>
    </row>
    <row r="254" spans="1:9">
      <c r="A254" s="336">
        <v>199</v>
      </c>
      <c r="B254" s="284">
        <f t="shared" si="14"/>
        <v>40563.857032867701</v>
      </c>
      <c r="C254" s="284">
        <f t="shared" si="15"/>
        <v>31189.864621899189</v>
      </c>
      <c r="D254" s="284">
        <f t="shared" si="16"/>
        <v>9373.9924109685126</v>
      </c>
      <c r="E254" s="284">
        <f t="shared" si="17"/>
        <v>5979080.014993676</v>
      </c>
      <c r="F254" s="283"/>
      <c r="G254" s="278"/>
      <c r="H254" s="272"/>
      <c r="I254" s="278"/>
    </row>
    <row r="255" spans="1:9">
      <c r="A255" s="336">
        <v>200</v>
      </c>
      <c r="B255" s="284">
        <f t="shared" si="14"/>
        <v>40563.857032867701</v>
      </c>
      <c r="C255" s="284">
        <f t="shared" si="15"/>
        <v>31141.041744758728</v>
      </c>
      <c r="D255" s="284">
        <f t="shared" si="16"/>
        <v>9422.8152881089736</v>
      </c>
      <c r="E255" s="284">
        <f t="shared" si="17"/>
        <v>5969657.1997055672</v>
      </c>
      <c r="F255" s="283"/>
      <c r="G255" s="278"/>
      <c r="H255" s="272"/>
      <c r="I255" s="278"/>
    </row>
    <row r="256" spans="1:9">
      <c r="A256" s="336">
        <v>201</v>
      </c>
      <c r="B256" s="284">
        <f t="shared" si="14"/>
        <v>40563.857032867701</v>
      </c>
      <c r="C256" s="284">
        <f t="shared" si="15"/>
        <v>31091.964581799828</v>
      </c>
      <c r="D256" s="284">
        <f t="shared" si="16"/>
        <v>9471.8924510678735</v>
      </c>
      <c r="E256" s="284">
        <f t="shared" si="17"/>
        <v>5960185.3072544998</v>
      </c>
      <c r="F256" s="283"/>
      <c r="G256" s="278"/>
      <c r="H256" s="272"/>
      <c r="I256" s="278"/>
    </row>
    <row r="257" spans="1:9">
      <c r="A257" s="336">
        <v>202</v>
      </c>
      <c r="B257" s="284">
        <f t="shared" si="14"/>
        <v>40563.857032867701</v>
      </c>
      <c r="C257" s="284">
        <f t="shared" si="15"/>
        <v>31042.631808617185</v>
      </c>
      <c r="D257" s="284">
        <f t="shared" si="16"/>
        <v>9521.2252242505165</v>
      </c>
      <c r="E257" s="284">
        <f t="shared" si="17"/>
        <v>5950664.0820302488</v>
      </c>
      <c r="F257" s="283"/>
      <c r="G257" s="278"/>
      <c r="H257" s="272"/>
      <c r="I257" s="278"/>
    </row>
    <row r="258" spans="1:9">
      <c r="A258" s="336">
        <v>203</v>
      </c>
      <c r="B258" s="284">
        <f t="shared" si="14"/>
        <v>40563.857032867701</v>
      </c>
      <c r="C258" s="284">
        <f t="shared" si="15"/>
        <v>30993.042093907545</v>
      </c>
      <c r="D258" s="284">
        <f t="shared" si="16"/>
        <v>9570.8149389601567</v>
      </c>
      <c r="E258" s="284">
        <f t="shared" si="17"/>
        <v>5941093.2670912882</v>
      </c>
      <c r="F258" s="283"/>
      <c r="G258" s="278"/>
      <c r="H258" s="272"/>
      <c r="I258" s="278"/>
    </row>
    <row r="259" spans="1:9">
      <c r="A259" s="336">
        <v>204</v>
      </c>
      <c r="B259" s="284">
        <f t="shared" si="14"/>
        <v>40563.857032867701</v>
      </c>
      <c r="C259" s="284">
        <f t="shared" si="15"/>
        <v>30943.194099433793</v>
      </c>
      <c r="D259" s="284">
        <f t="shared" si="16"/>
        <v>9620.6629334339086</v>
      </c>
      <c r="E259" s="284">
        <f t="shared" si="17"/>
        <v>5931472.6041578539</v>
      </c>
      <c r="F259" s="283">
        <v>17</v>
      </c>
      <c r="G259" s="335"/>
      <c r="H259" s="291"/>
      <c r="I259" s="335"/>
    </row>
    <row r="260" spans="1:9">
      <c r="A260" s="336">
        <v>205</v>
      </c>
      <c r="B260" s="284">
        <f t="shared" si="14"/>
        <v>40563.857032867701</v>
      </c>
      <c r="C260" s="284">
        <f t="shared" si="15"/>
        <v>30893.086479988822</v>
      </c>
      <c r="D260" s="284">
        <f t="shared" si="16"/>
        <v>9670.7705528788792</v>
      </c>
      <c r="E260" s="284">
        <f t="shared" si="17"/>
        <v>5921801.8336049747</v>
      </c>
      <c r="F260" s="283"/>
      <c r="G260" s="278"/>
      <c r="H260" s="272"/>
      <c r="I260" s="335"/>
    </row>
    <row r="261" spans="1:9">
      <c r="A261" s="336">
        <v>206</v>
      </c>
      <c r="B261" s="284">
        <f t="shared" si="14"/>
        <v>40563.857032867701</v>
      </c>
      <c r="C261" s="284">
        <f t="shared" si="15"/>
        <v>30842.717883359244</v>
      </c>
      <c r="D261" s="284">
        <f t="shared" si="16"/>
        <v>9721.1391495084572</v>
      </c>
      <c r="E261" s="284">
        <f t="shared" si="17"/>
        <v>5912080.6944554662</v>
      </c>
      <c r="F261" s="283"/>
      <c r="G261" s="278"/>
      <c r="H261" s="272"/>
      <c r="I261" s="278"/>
    </row>
    <row r="262" spans="1:9">
      <c r="A262" s="336">
        <v>207</v>
      </c>
      <c r="B262" s="284">
        <f t="shared" si="14"/>
        <v>40563.857032867701</v>
      </c>
      <c r="C262" s="284">
        <f t="shared" si="15"/>
        <v>30792.086950288885</v>
      </c>
      <c r="D262" s="284">
        <f t="shared" si="16"/>
        <v>9771.7700825788161</v>
      </c>
      <c r="E262" s="284">
        <f t="shared" si="17"/>
        <v>5902308.9243728872</v>
      </c>
      <c r="F262" s="283"/>
      <c r="G262" s="278"/>
      <c r="H262" s="272"/>
      <c r="I262" s="278"/>
    </row>
    <row r="263" spans="1:9">
      <c r="A263" s="336">
        <v>208</v>
      </c>
      <c r="B263" s="284">
        <f t="shared" si="14"/>
        <v>40563.857032867701</v>
      </c>
      <c r="C263" s="284">
        <f t="shared" si="15"/>
        <v>30741.19231444212</v>
      </c>
      <c r="D263" s="284">
        <f t="shared" si="16"/>
        <v>9822.6647184255817</v>
      </c>
      <c r="E263" s="284">
        <f t="shared" si="17"/>
        <v>5892486.2596544614</v>
      </c>
      <c r="F263" s="283"/>
      <c r="G263" s="278"/>
      <c r="H263" s="272"/>
      <c r="I263" s="278"/>
    </row>
    <row r="264" spans="1:9">
      <c r="A264" s="336">
        <v>209</v>
      </c>
      <c r="B264" s="284">
        <f t="shared" si="14"/>
        <v>40563.857032867701</v>
      </c>
      <c r="C264" s="284">
        <f t="shared" si="15"/>
        <v>30690.032602366988</v>
      </c>
      <c r="D264" s="284">
        <f t="shared" si="16"/>
        <v>9873.8244305007138</v>
      </c>
      <c r="E264" s="284">
        <f t="shared" si="17"/>
        <v>5882612.4352239603</v>
      </c>
      <c r="F264" s="283"/>
      <c r="G264" s="278"/>
      <c r="H264" s="272"/>
      <c r="I264" s="278"/>
    </row>
    <row r="265" spans="1:9">
      <c r="A265" s="336">
        <v>210</v>
      </c>
      <c r="B265" s="284">
        <f t="shared" si="14"/>
        <v>40563.857032867701</v>
      </c>
      <c r="C265" s="284">
        <f t="shared" si="15"/>
        <v>30638.606433458128</v>
      </c>
      <c r="D265" s="284">
        <f t="shared" si="16"/>
        <v>9925.2505994095736</v>
      </c>
      <c r="E265" s="284">
        <f t="shared" si="17"/>
        <v>5872687.1846245509</v>
      </c>
      <c r="F265" s="283"/>
      <c r="G265" s="335"/>
      <c r="H265" s="291"/>
      <c r="I265" s="278"/>
    </row>
    <row r="266" spans="1:9">
      <c r="A266" s="336">
        <v>211</v>
      </c>
      <c r="B266" s="284">
        <f t="shared" si="14"/>
        <v>40563.857032867701</v>
      </c>
      <c r="C266" s="284">
        <f t="shared" si="15"/>
        <v>30586.912419919536</v>
      </c>
      <c r="D266" s="284">
        <f t="shared" si="16"/>
        <v>9976.9446129481657</v>
      </c>
      <c r="E266" s="284">
        <f t="shared" si="17"/>
        <v>5862710.2400116026</v>
      </c>
      <c r="F266" s="283"/>
      <c r="G266" s="278"/>
      <c r="H266" s="272"/>
      <c r="I266" s="278"/>
    </row>
    <row r="267" spans="1:9">
      <c r="A267" s="336">
        <v>212</v>
      </c>
      <c r="B267" s="284">
        <f t="shared" si="14"/>
        <v>40563.857032867701</v>
      </c>
      <c r="C267" s="284">
        <f t="shared" si="15"/>
        <v>30534.949166727096</v>
      </c>
      <c r="D267" s="284">
        <f t="shared" si="16"/>
        <v>10028.907866140606</v>
      </c>
      <c r="E267" s="284">
        <f t="shared" si="17"/>
        <v>5852681.3321454618</v>
      </c>
      <c r="F267" s="283"/>
      <c r="G267" s="278"/>
      <c r="H267" s="272"/>
      <c r="I267" s="278"/>
    </row>
    <row r="268" spans="1:9">
      <c r="A268" s="336">
        <v>213</v>
      </c>
      <c r="B268" s="284">
        <f t="shared" si="14"/>
        <v>40563.857032867701</v>
      </c>
      <c r="C268" s="284">
        <f t="shared" si="15"/>
        <v>30482.715271590947</v>
      </c>
      <c r="D268" s="284">
        <f t="shared" si="16"/>
        <v>10081.141761276755</v>
      </c>
      <c r="E268" s="284">
        <f t="shared" si="17"/>
        <v>5842600.1903841849</v>
      </c>
      <c r="F268" s="283"/>
      <c r="G268" s="278"/>
      <c r="H268" s="272"/>
      <c r="I268" s="278"/>
    </row>
    <row r="269" spans="1:9">
      <c r="A269" s="336">
        <v>214</v>
      </c>
      <c r="B269" s="284">
        <f t="shared" si="14"/>
        <v>40563.857032867701</v>
      </c>
      <c r="C269" s="284">
        <f t="shared" si="15"/>
        <v>30430.209324917629</v>
      </c>
      <c r="D269" s="284">
        <f t="shared" si="16"/>
        <v>10133.647707950073</v>
      </c>
      <c r="E269" s="284">
        <f t="shared" si="17"/>
        <v>5832466.5426762346</v>
      </c>
      <c r="F269" s="283"/>
      <c r="G269" s="278"/>
      <c r="H269" s="272"/>
      <c r="I269" s="278"/>
    </row>
    <row r="270" spans="1:9">
      <c r="A270" s="336">
        <v>215</v>
      </c>
      <c r="B270" s="284">
        <f t="shared" si="14"/>
        <v>40563.857032867701</v>
      </c>
      <c r="C270" s="284">
        <f t="shared" si="15"/>
        <v>30377.429909772054</v>
      </c>
      <c r="D270" s="284">
        <f t="shared" si="16"/>
        <v>10186.427123095647</v>
      </c>
      <c r="E270" s="284">
        <f t="shared" si="17"/>
        <v>5822280.1155531388</v>
      </c>
      <c r="F270" s="283"/>
      <c r="G270" s="278"/>
      <c r="H270" s="272"/>
      <c r="I270" s="278"/>
    </row>
    <row r="271" spans="1:9">
      <c r="A271" s="336">
        <v>216</v>
      </c>
      <c r="B271" s="284">
        <f t="shared" si="14"/>
        <v>40563.857032867701</v>
      </c>
      <c r="C271" s="284">
        <f t="shared" si="15"/>
        <v>30324.375601839263</v>
      </c>
      <c r="D271" s="284">
        <f t="shared" si="16"/>
        <v>10239.481431028438</v>
      </c>
      <c r="E271" s="284">
        <f t="shared" si="17"/>
        <v>5812040.63412211</v>
      </c>
      <c r="F271" s="283">
        <v>18</v>
      </c>
      <c r="G271" s="335"/>
      <c r="H271" s="291"/>
      <c r="I271" s="335"/>
    </row>
    <row r="272" spans="1:9">
      <c r="A272" s="336">
        <v>217</v>
      </c>
      <c r="B272" s="284">
        <f t="shared" si="14"/>
        <v>40563.857032867701</v>
      </c>
      <c r="C272" s="284">
        <f t="shared" si="15"/>
        <v>30271.044969385988</v>
      </c>
      <c r="D272" s="284">
        <f t="shared" si="16"/>
        <v>10292.812063481713</v>
      </c>
      <c r="E272" s="284">
        <f t="shared" si="17"/>
        <v>5801747.8220586283</v>
      </c>
      <c r="F272" s="283"/>
      <c r="G272" s="278"/>
      <c r="H272" s="272"/>
      <c r="I272" s="335"/>
    </row>
    <row r="273" spans="1:9">
      <c r="A273" s="336">
        <v>218</v>
      </c>
      <c r="B273" s="284">
        <f t="shared" si="14"/>
        <v>40563.857032867701</v>
      </c>
      <c r="C273" s="284">
        <f t="shared" si="15"/>
        <v>30217.436573222021</v>
      </c>
      <c r="D273" s="284">
        <f t="shared" si="16"/>
        <v>10346.42045964568</v>
      </c>
      <c r="E273" s="284">
        <f t="shared" si="17"/>
        <v>5791401.4015989825</v>
      </c>
      <c r="F273" s="283"/>
      <c r="G273" s="278"/>
      <c r="H273" s="272"/>
      <c r="I273" s="278"/>
    </row>
    <row r="274" spans="1:9">
      <c r="A274" s="336">
        <v>219</v>
      </c>
      <c r="B274" s="284">
        <f t="shared" si="14"/>
        <v>40563.857032867701</v>
      </c>
      <c r="C274" s="284">
        <f t="shared" si="15"/>
        <v>30163.548966661368</v>
      </c>
      <c r="D274" s="284">
        <f t="shared" si="16"/>
        <v>10400.308066206333</v>
      </c>
      <c r="E274" s="284">
        <f t="shared" si="17"/>
        <v>5781001.0935327765</v>
      </c>
      <c r="F274" s="283"/>
      <c r="G274" s="278"/>
      <c r="H274" s="272"/>
      <c r="I274" s="278"/>
    </row>
    <row r="275" spans="1:9">
      <c r="A275" s="336">
        <v>220</v>
      </c>
      <c r="B275" s="284">
        <f t="shared" si="14"/>
        <v>40563.857032867701</v>
      </c>
      <c r="C275" s="284">
        <f t="shared" si="15"/>
        <v>30109.380695483211</v>
      </c>
      <c r="D275" s="284">
        <f t="shared" si="16"/>
        <v>10454.476337384491</v>
      </c>
      <c r="E275" s="284">
        <f t="shared" si="17"/>
        <v>5770546.617195392</v>
      </c>
      <c r="F275" s="283"/>
      <c r="G275" s="278"/>
      <c r="H275" s="272"/>
      <c r="I275" s="278"/>
    </row>
    <row r="276" spans="1:9">
      <c r="A276" s="336">
        <v>221</v>
      </c>
      <c r="B276" s="284">
        <f t="shared" si="14"/>
        <v>40563.857032867701</v>
      </c>
      <c r="C276" s="284">
        <f t="shared" si="15"/>
        <v>30054.930297892668</v>
      </c>
      <c r="D276" s="284">
        <f t="shared" si="16"/>
        <v>10508.926734975033</v>
      </c>
      <c r="E276" s="284">
        <f t="shared" si="17"/>
        <v>5760037.6904604174</v>
      </c>
      <c r="F276" s="283"/>
      <c r="G276" s="278"/>
      <c r="H276" s="272"/>
      <c r="I276" s="278"/>
    </row>
    <row r="277" spans="1:9">
      <c r="A277" s="336">
        <v>222</v>
      </c>
      <c r="B277" s="284">
        <f t="shared" si="14"/>
        <v>40563.857032867701</v>
      </c>
      <c r="C277" s="284">
        <f t="shared" si="15"/>
        <v>30000.196304481342</v>
      </c>
      <c r="D277" s="284">
        <f t="shared" si="16"/>
        <v>10563.66072838636</v>
      </c>
      <c r="E277" s="284">
        <f t="shared" si="17"/>
        <v>5749474.0297320308</v>
      </c>
      <c r="F277" s="283"/>
      <c r="G277" s="335"/>
      <c r="H277" s="291"/>
      <c r="I277" s="278"/>
    </row>
    <row r="278" spans="1:9">
      <c r="A278" s="336">
        <v>223</v>
      </c>
      <c r="B278" s="284">
        <f t="shared" si="14"/>
        <v>40563.857032867701</v>
      </c>
      <c r="C278" s="284">
        <f t="shared" si="15"/>
        <v>29945.177238187662</v>
      </c>
      <c r="D278" s="284">
        <f t="shared" si="16"/>
        <v>10618.67979468004</v>
      </c>
      <c r="E278" s="284">
        <f t="shared" si="17"/>
        <v>5738855.3499373505</v>
      </c>
      <c r="F278" s="283"/>
      <c r="G278" s="278"/>
      <c r="H278" s="272"/>
      <c r="I278" s="278"/>
    </row>
    <row r="279" spans="1:9">
      <c r="A279" s="336">
        <v>224</v>
      </c>
      <c r="B279" s="284">
        <f t="shared" si="14"/>
        <v>40563.857032867701</v>
      </c>
      <c r="C279" s="284">
        <f t="shared" si="15"/>
        <v>29889.871614257034</v>
      </c>
      <c r="D279" s="284">
        <f t="shared" si="16"/>
        <v>10673.985418610668</v>
      </c>
      <c r="E279" s="284">
        <f t="shared" si="17"/>
        <v>5728181.3645187402</v>
      </c>
      <c r="F279" s="283"/>
      <c r="G279" s="278"/>
      <c r="H279" s="272"/>
      <c r="I279" s="278"/>
    </row>
    <row r="280" spans="1:9">
      <c r="A280" s="336">
        <v>225</v>
      </c>
      <c r="B280" s="284">
        <f t="shared" si="14"/>
        <v>40563.857032867701</v>
      </c>
      <c r="C280" s="284">
        <f t="shared" si="15"/>
        <v>29834.277940201773</v>
      </c>
      <c r="D280" s="284">
        <f t="shared" si="16"/>
        <v>10729.579092665928</v>
      </c>
      <c r="E280" s="284">
        <f t="shared" si="17"/>
        <v>5717451.7854260746</v>
      </c>
      <c r="F280" s="283"/>
      <c r="G280" s="278"/>
      <c r="H280" s="272"/>
      <c r="I280" s="278"/>
    </row>
    <row r="281" spans="1:9">
      <c r="A281" s="336">
        <v>226</v>
      </c>
      <c r="B281" s="284">
        <f t="shared" si="14"/>
        <v>40563.857032867701</v>
      </c>
      <c r="C281" s="284">
        <f t="shared" si="15"/>
        <v>29778.394715760805</v>
      </c>
      <c r="D281" s="284">
        <f t="shared" si="16"/>
        <v>10785.462317106896</v>
      </c>
      <c r="E281" s="284">
        <f t="shared" si="17"/>
        <v>5706666.3231089674</v>
      </c>
      <c r="F281" s="283"/>
      <c r="G281" s="278"/>
      <c r="H281" s="272"/>
      <c r="I281" s="278"/>
    </row>
    <row r="282" spans="1:9">
      <c r="A282" s="336">
        <v>227</v>
      </c>
      <c r="B282" s="284">
        <f t="shared" si="14"/>
        <v>40563.857032867701</v>
      </c>
      <c r="C282" s="284">
        <f t="shared" si="15"/>
        <v>29722.220432859205</v>
      </c>
      <c r="D282" s="284">
        <f t="shared" si="16"/>
        <v>10841.636600008496</v>
      </c>
      <c r="E282" s="284">
        <f t="shared" si="17"/>
        <v>5695824.6865089592</v>
      </c>
      <c r="F282" s="283"/>
      <c r="G282" s="278"/>
      <c r="H282" s="272"/>
      <c r="I282" s="278"/>
    </row>
    <row r="283" spans="1:9">
      <c r="A283" s="336">
        <v>228</v>
      </c>
      <c r="B283" s="284">
        <f t="shared" si="14"/>
        <v>40563.857032867701</v>
      </c>
      <c r="C283" s="284">
        <f t="shared" si="15"/>
        <v>29665.753575567494</v>
      </c>
      <c r="D283" s="284">
        <f t="shared" si="16"/>
        <v>10898.103457300207</v>
      </c>
      <c r="E283" s="284">
        <f t="shared" si="17"/>
        <v>5684926.5830516592</v>
      </c>
      <c r="F283" s="283">
        <v>19</v>
      </c>
      <c r="G283" s="335"/>
      <c r="H283" s="291"/>
      <c r="I283" s="335"/>
    </row>
    <row r="284" spans="1:9">
      <c r="A284" s="336">
        <v>229</v>
      </c>
      <c r="B284" s="284">
        <f t="shared" si="14"/>
        <v>40563.857032867701</v>
      </c>
      <c r="C284" s="284">
        <f t="shared" si="15"/>
        <v>29608.992620060726</v>
      </c>
      <c r="D284" s="284">
        <f t="shared" si="16"/>
        <v>10954.864412806975</v>
      </c>
      <c r="E284" s="284">
        <f t="shared" si="17"/>
        <v>5673971.7186388522</v>
      </c>
      <c r="F284" s="283"/>
      <c r="G284" s="278"/>
      <c r="H284" s="272"/>
      <c r="I284" s="335"/>
    </row>
    <row r="285" spans="1:9">
      <c r="A285" s="336">
        <v>230</v>
      </c>
      <c r="B285" s="284">
        <f t="shared" si="14"/>
        <v>40563.857032867701</v>
      </c>
      <c r="C285" s="284">
        <f t="shared" si="15"/>
        <v>29551.936034577357</v>
      </c>
      <c r="D285" s="284">
        <f t="shared" si="16"/>
        <v>11011.920998290345</v>
      </c>
      <c r="E285" s="284">
        <f t="shared" si="17"/>
        <v>5662959.7976405621</v>
      </c>
      <c r="F285" s="283"/>
      <c r="G285" s="278"/>
      <c r="H285" s="272"/>
      <c r="I285" s="278"/>
    </row>
    <row r="286" spans="1:9">
      <c r="A286" s="336">
        <v>231</v>
      </c>
      <c r="B286" s="284">
        <f t="shared" si="14"/>
        <v>40563.857032867701</v>
      </c>
      <c r="C286" s="284">
        <f t="shared" si="15"/>
        <v>29494.582279377926</v>
      </c>
      <c r="D286" s="284">
        <f t="shared" si="16"/>
        <v>11069.274753489775</v>
      </c>
      <c r="E286" s="284">
        <f t="shared" si="17"/>
        <v>5651890.5228870725</v>
      </c>
      <c r="F286" s="283"/>
      <c r="G286" s="278"/>
      <c r="H286" s="272"/>
      <c r="I286" s="278"/>
    </row>
    <row r="287" spans="1:9">
      <c r="A287" s="336">
        <v>232</v>
      </c>
      <c r="B287" s="284">
        <f t="shared" si="14"/>
        <v>40563.857032867701</v>
      </c>
      <c r="C287" s="284">
        <f t="shared" si="15"/>
        <v>29436.929806703502</v>
      </c>
      <c r="D287" s="284">
        <f t="shared" si="16"/>
        <v>11126.9272261642</v>
      </c>
      <c r="E287" s="284">
        <f t="shared" si="17"/>
        <v>5640763.5956609081</v>
      </c>
      <c r="F287" s="283"/>
      <c r="G287" s="278"/>
      <c r="H287" s="272"/>
      <c r="I287" s="278"/>
    </row>
    <row r="288" spans="1:9">
      <c r="A288" s="336">
        <v>233</v>
      </c>
      <c r="B288" s="284">
        <f t="shared" si="14"/>
        <v>40563.857032867701</v>
      </c>
      <c r="C288" s="284">
        <f t="shared" si="15"/>
        <v>29378.977060733898</v>
      </c>
      <c r="D288" s="284">
        <f t="shared" si="16"/>
        <v>11184.879972133804</v>
      </c>
      <c r="E288" s="284">
        <f t="shared" si="17"/>
        <v>5629578.7156887744</v>
      </c>
      <c r="F288" s="283"/>
      <c r="G288" s="278"/>
      <c r="H288" s="272"/>
      <c r="I288" s="278"/>
    </row>
    <row r="289" spans="1:9">
      <c r="A289" s="336">
        <v>234</v>
      </c>
      <c r="B289" s="284">
        <f t="shared" si="14"/>
        <v>40563.857032867701</v>
      </c>
      <c r="C289" s="284">
        <f t="shared" si="15"/>
        <v>29320.7224775457</v>
      </c>
      <c r="D289" s="284">
        <f t="shared" si="16"/>
        <v>11243.134555322002</v>
      </c>
      <c r="E289" s="284">
        <f t="shared" si="17"/>
        <v>5618335.5811334522</v>
      </c>
      <c r="F289" s="283"/>
      <c r="G289" s="335"/>
      <c r="H289" s="291"/>
      <c r="I289" s="278"/>
    </row>
    <row r="290" spans="1:9">
      <c r="A290" s="336">
        <v>235</v>
      </c>
      <c r="B290" s="284">
        <f t="shared" si="14"/>
        <v>40563.857032867701</v>
      </c>
      <c r="C290" s="284">
        <f t="shared" si="15"/>
        <v>29262.164485070065</v>
      </c>
      <c r="D290" s="284">
        <f t="shared" si="16"/>
        <v>11301.692547797637</v>
      </c>
      <c r="E290" s="284">
        <f t="shared" si="17"/>
        <v>5607033.888585655</v>
      </c>
      <c r="F290" s="283"/>
      <c r="G290" s="278"/>
      <c r="H290" s="272"/>
      <c r="I290" s="278"/>
    </row>
    <row r="291" spans="1:9">
      <c r="A291" s="336">
        <v>236</v>
      </c>
      <c r="B291" s="284">
        <f t="shared" si="14"/>
        <v>40563.857032867701</v>
      </c>
      <c r="C291" s="284">
        <f t="shared" si="15"/>
        <v>29203.301503050287</v>
      </c>
      <c r="D291" s="284">
        <f t="shared" si="16"/>
        <v>11360.555529817415</v>
      </c>
      <c r="E291" s="284">
        <f t="shared" si="17"/>
        <v>5595673.333055838</v>
      </c>
      <c r="F291" s="283"/>
      <c r="G291" s="278"/>
      <c r="H291" s="272"/>
      <c r="I291" s="278"/>
    </row>
    <row r="292" spans="1:9">
      <c r="A292" s="336">
        <v>237</v>
      </c>
      <c r="B292" s="284">
        <f t="shared" si="14"/>
        <v>40563.857032867701</v>
      </c>
      <c r="C292" s="284">
        <f t="shared" si="15"/>
        <v>29144.131942999156</v>
      </c>
      <c r="D292" s="284">
        <f t="shared" si="16"/>
        <v>11419.725089868545</v>
      </c>
      <c r="E292" s="284">
        <f t="shared" si="17"/>
        <v>5584253.6079659695</v>
      </c>
      <c r="F292" s="283"/>
      <c r="G292" s="278"/>
      <c r="H292" s="272"/>
      <c r="I292" s="278"/>
    </row>
    <row r="293" spans="1:9">
      <c r="A293" s="336">
        <v>238</v>
      </c>
      <c r="B293" s="284">
        <f t="shared" si="14"/>
        <v>40563.857032867701</v>
      </c>
      <c r="C293" s="284">
        <f t="shared" si="15"/>
        <v>29084.654208156091</v>
      </c>
      <c r="D293" s="284">
        <f t="shared" si="16"/>
        <v>11479.20282471161</v>
      </c>
      <c r="E293" s="284">
        <f t="shared" si="17"/>
        <v>5572774.4051412577</v>
      </c>
      <c r="F293" s="283"/>
      <c r="G293" s="278"/>
      <c r="H293" s="272"/>
      <c r="I293" s="278"/>
    </row>
    <row r="294" spans="1:9">
      <c r="A294" s="336">
        <v>239</v>
      </c>
      <c r="B294" s="284">
        <f t="shared" si="14"/>
        <v>40563.857032867701</v>
      </c>
      <c r="C294" s="284">
        <f t="shared" si="15"/>
        <v>29024.866693444052</v>
      </c>
      <c r="D294" s="284">
        <f t="shared" si="16"/>
        <v>11538.99033942365</v>
      </c>
      <c r="E294" s="284">
        <f t="shared" si="17"/>
        <v>5561235.4148018342</v>
      </c>
      <c r="F294" s="283"/>
      <c r="G294" s="278"/>
      <c r="H294" s="272"/>
      <c r="I294" s="278"/>
    </row>
    <row r="295" spans="1:9">
      <c r="A295" s="336">
        <v>240</v>
      </c>
      <c r="B295" s="284">
        <f t="shared" si="14"/>
        <v>40563.857032867701</v>
      </c>
      <c r="C295" s="284">
        <f t="shared" si="15"/>
        <v>28964.767785426218</v>
      </c>
      <c r="D295" s="284">
        <f t="shared" si="16"/>
        <v>11599.089247441483</v>
      </c>
      <c r="E295" s="284">
        <f t="shared" si="17"/>
        <v>5549636.3255543923</v>
      </c>
      <c r="F295" s="283">
        <v>20</v>
      </c>
      <c r="G295" s="335"/>
      <c r="H295" s="291"/>
      <c r="I295" s="335"/>
    </row>
    <row r="296" spans="1:9">
      <c r="A296" s="336">
        <v>241</v>
      </c>
      <c r="B296" s="284">
        <f t="shared" si="14"/>
        <v>40563.857032867701</v>
      </c>
      <c r="C296" s="284">
        <f t="shared" si="15"/>
        <v>28904.355862262459</v>
      </c>
      <c r="D296" s="284">
        <f t="shared" si="16"/>
        <v>11659.501170605243</v>
      </c>
      <c r="E296" s="284">
        <f t="shared" si="17"/>
        <v>5537976.8243837869</v>
      </c>
      <c r="F296" s="283"/>
      <c r="G296" s="278"/>
      <c r="H296" s="272"/>
      <c r="I296" s="335"/>
    </row>
    <row r="297" spans="1:9">
      <c r="A297" s="336">
        <v>242</v>
      </c>
      <c r="B297" s="284">
        <f t="shared" si="14"/>
        <v>40563.857032867701</v>
      </c>
      <c r="C297" s="284">
        <f t="shared" si="15"/>
        <v>28843.629293665555</v>
      </c>
      <c r="D297" s="284">
        <f t="shared" si="16"/>
        <v>11720.227739202146</v>
      </c>
      <c r="E297" s="284">
        <f t="shared" si="17"/>
        <v>5526256.596644585</v>
      </c>
      <c r="F297" s="283"/>
      <c r="G297" s="278"/>
      <c r="H297" s="272"/>
      <c r="I297" s="278"/>
    </row>
    <row r="298" spans="1:9">
      <c r="A298" s="336">
        <v>243</v>
      </c>
      <c r="B298" s="284">
        <f t="shared" si="14"/>
        <v>40563.857032867701</v>
      </c>
      <c r="C298" s="284">
        <f t="shared" si="15"/>
        <v>28782.586440857212</v>
      </c>
      <c r="D298" s="284">
        <f t="shared" si="16"/>
        <v>11781.270592010489</v>
      </c>
      <c r="E298" s="284">
        <f t="shared" si="17"/>
        <v>5514475.3260525744</v>
      </c>
      <c r="F298" s="283"/>
      <c r="G298" s="278"/>
      <c r="H298" s="272"/>
      <c r="I298" s="278"/>
    </row>
    <row r="299" spans="1:9">
      <c r="A299" s="336">
        <v>244</v>
      </c>
      <c r="B299" s="284">
        <f t="shared" si="14"/>
        <v>40563.857032867701</v>
      </c>
      <c r="C299" s="284">
        <f t="shared" si="15"/>
        <v>28721.225656523824</v>
      </c>
      <c r="D299" s="284">
        <f t="shared" si="16"/>
        <v>11842.631376343877</v>
      </c>
      <c r="E299" s="284">
        <f t="shared" si="17"/>
        <v>5502632.6946762307</v>
      </c>
      <c r="F299" s="283"/>
      <c r="G299" s="278"/>
      <c r="H299" s="272"/>
      <c r="I299" s="278"/>
    </row>
    <row r="300" spans="1:9">
      <c r="A300" s="336">
        <v>245</v>
      </c>
      <c r="B300" s="284">
        <f t="shared" si="14"/>
        <v>40563.857032867701</v>
      </c>
      <c r="C300" s="284">
        <f t="shared" si="15"/>
        <v>28659.545284772033</v>
      </c>
      <c r="D300" s="284">
        <f t="shared" si="16"/>
        <v>11904.311748095668</v>
      </c>
      <c r="E300" s="284">
        <f t="shared" si="17"/>
        <v>5490728.3829281349</v>
      </c>
      <c r="F300" s="283"/>
      <c r="G300" s="278"/>
      <c r="H300" s="272"/>
      <c r="I300" s="278"/>
    </row>
    <row r="301" spans="1:9">
      <c r="A301" s="336">
        <v>246</v>
      </c>
      <c r="B301" s="284">
        <f t="shared" si="14"/>
        <v>40563.857032867701</v>
      </c>
      <c r="C301" s="284">
        <f t="shared" si="15"/>
        <v>28597.543661084037</v>
      </c>
      <c r="D301" s="284">
        <f t="shared" si="16"/>
        <v>11966.313371783664</v>
      </c>
      <c r="E301" s="284">
        <f t="shared" si="17"/>
        <v>5478762.0695563508</v>
      </c>
      <c r="F301" s="283"/>
      <c r="G301" s="335"/>
      <c r="H301" s="291"/>
      <c r="I301" s="278"/>
    </row>
    <row r="302" spans="1:9">
      <c r="A302" s="336">
        <v>247</v>
      </c>
      <c r="B302" s="284">
        <f t="shared" si="14"/>
        <v>40563.857032867701</v>
      </c>
      <c r="C302" s="284">
        <f t="shared" si="15"/>
        <v>28535.219112272662</v>
      </c>
      <c r="D302" s="284">
        <f t="shared" si="16"/>
        <v>12028.63792059504</v>
      </c>
      <c r="E302" s="284">
        <f t="shared" si="17"/>
        <v>5466733.431635756</v>
      </c>
      <c r="F302" s="283"/>
      <c r="G302" s="278"/>
      <c r="H302" s="272"/>
      <c r="I302" s="278"/>
    </row>
    <row r="303" spans="1:9">
      <c r="A303" s="336">
        <v>248</v>
      </c>
      <c r="B303" s="284">
        <f t="shared" si="14"/>
        <v>40563.857032867701</v>
      </c>
      <c r="C303" s="284">
        <f t="shared" si="15"/>
        <v>28472.569956436229</v>
      </c>
      <c r="D303" s="284">
        <f t="shared" si="16"/>
        <v>12091.287076431472</v>
      </c>
      <c r="E303" s="284">
        <f t="shared" si="17"/>
        <v>5454642.1445593247</v>
      </c>
      <c r="F303" s="283"/>
      <c r="G303" s="278"/>
      <c r="H303" s="272"/>
      <c r="I303" s="278"/>
    </row>
    <row r="304" spans="1:9">
      <c r="A304" s="336">
        <v>249</v>
      </c>
      <c r="B304" s="284">
        <f t="shared" si="14"/>
        <v>40563.857032867701</v>
      </c>
      <c r="C304" s="284">
        <f t="shared" si="15"/>
        <v>28409.594502913151</v>
      </c>
      <c r="D304" s="284">
        <f t="shared" si="16"/>
        <v>12154.262529954551</v>
      </c>
      <c r="E304" s="284">
        <f t="shared" si="17"/>
        <v>5442487.8820293704</v>
      </c>
      <c r="F304" s="283"/>
      <c r="G304" s="278"/>
      <c r="H304" s="272"/>
      <c r="I304" s="278"/>
    </row>
    <row r="305" spans="1:9">
      <c r="A305" s="336">
        <v>250</v>
      </c>
      <c r="B305" s="284">
        <f t="shared" si="14"/>
        <v>40563.857032867701</v>
      </c>
      <c r="C305" s="284">
        <f t="shared" si="15"/>
        <v>28346.291052236305</v>
      </c>
      <c r="D305" s="284">
        <f t="shared" si="16"/>
        <v>12217.565980631396</v>
      </c>
      <c r="E305" s="284">
        <f t="shared" si="17"/>
        <v>5430270.3160487385</v>
      </c>
      <c r="F305" s="283"/>
      <c r="G305" s="278"/>
      <c r="H305" s="272"/>
      <c r="I305" s="278"/>
    </row>
    <row r="306" spans="1:9">
      <c r="A306" s="336">
        <v>251</v>
      </c>
      <c r="B306" s="284">
        <f t="shared" si="14"/>
        <v>40563.857032867701</v>
      </c>
      <c r="C306" s="284">
        <f t="shared" si="15"/>
        <v>28282.657896087181</v>
      </c>
      <c r="D306" s="284">
        <f t="shared" si="16"/>
        <v>12281.19913678052</v>
      </c>
      <c r="E306" s="284">
        <f t="shared" si="17"/>
        <v>5417989.116911958</v>
      </c>
      <c r="F306" s="283"/>
      <c r="G306" s="278"/>
      <c r="H306" s="272"/>
      <c r="I306" s="278"/>
    </row>
    <row r="307" spans="1:9">
      <c r="A307" s="336">
        <v>252</v>
      </c>
      <c r="B307" s="284">
        <f t="shared" si="14"/>
        <v>40563.857032867701</v>
      </c>
      <c r="C307" s="284">
        <f t="shared" si="15"/>
        <v>28218.693317249781</v>
      </c>
      <c r="D307" s="284">
        <f t="shared" si="16"/>
        <v>12345.16371561792</v>
      </c>
      <c r="E307" s="284">
        <f t="shared" si="17"/>
        <v>5405643.9531963402</v>
      </c>
      <c r="F307" s="283">
        <v>21</v>
      </c>
      <c r="G307" s="335"/>
      <c r="H307" s="291"/>
      <c r="I307" s="335"/>
    </row>
    <row r="308" spans="1:9">
      <c r="A308" s="336">
        <v>253</v>
      </c>
      <c r="B308" s="284">
        <f t="shared" si="14"/>
        <v>40563.857032867701</v>
      </c>
      <c r="C308" s="284">
        <f t="shared" si="15"/>
        <v>28154.395589564272</v>
      </c>
      <c r="D308" s="284">
        <f t="shared" si="16"/>
        <v>12409.461443303429</v>
      </c>
      <c r="E308" s="284">
        <f t="shared" si="17"/>
        <v>5393234.4917530371</v>
      </c>
      <c r="F308" s="283"/>
      <c r="G308" s="278"/>
      <c r="H308" s="272"/>
      <c r="I308" s="335"/>
    </row>
    <row r="309" spans="1:9">
      <c r="A309" s="336">
        <v>254</v>
      </c>
      <c r="B309" s="284">
        <f t="shared" si="14"/>
        <v>40563.857032867701</v>
      </c>
      <c r="C309" s="284">
        <f t="shared" si="15"/>
        <v>28089.7629778804</v>
      </c>
      <c r="D309" s="284">
        <f t="shared" si="16"/>
        <v>12474.094054987301</v>
      </c>
      <c r="E309" s="284">
        <f t="shared" si="17"/>
        <v>5380760.3976980494</v>
      </c>
      <c r="F309" s="283"/>
      <c r="G309" s="278"/>
      <c r="H309" s="272"/>
      <c r="I309" s="278"/>
    </row>
    <row r="310" spans="1:9">
      <c r="A310" s="336">
        <v>255</v>
      </c>
      <c r="B310" s="284">
        <f t="shared" si="14"/>
        <v>40563.857032867701</v>
      </c>
      <c r="C310" s="284">
        <f t="shared" si="15"/>
        <v>28024.793738010674</v>
      </c>
      <c r="D310" s="284">
        <f t="shared" si="16"/>
        <v>12539.063294857027</v>
      </c>
      <c r="E310" s="284">
        <f t="shared" si="17"/>
        <v>5368221.3344031926</v>
      </c>
      <c r="F310" s="283"/>
      <c r="G310" s="278"/>
      <c r="H310" s="272"/>
      <c r="I310" s="278"/>
    </row>
    <row r="311" spans="1:9">
      <c r="A311" s="336">
        <v>256</v>
      </c>
      <c r="B311" s="284">
        <f t="shared" si="14"/>
        <v>40563.857032867701</v>
      </c>
      <c r="C311" s="284">
        <f t="shared" si="15"/>
        <v>27959.486116683296</v>
      </c>
      <c r="D311" s="284">
        <f t="shared" si="16"/>
        <v>12604.370916184405</v>
      </c>
      <c r="E311" s="284">
        <f t="shared" si="17"/>
        <v>5355616.9634870086</v>
      </c>
      <c r="F311" s="283"/>
      <c r="G311" s="278"/>
      <c r="H311" s="272"/>
      <c r="I311" s="278"/>
    </row>
    <row r="312" spans="1:9">
      <c r="A312" s="336">
        <v>257</v>
      </c>
      <c r="B312" s="284">
        <f t="shared" ref="B312:B375" si="18">IF(A312&gt;12*$D$14,0,$D$20)</f>
        <v>40563.857032867701</v>
      </c>
      <c r="C312" s="284">
        <f t="shared" ref="C312:C375" si="19">IF(A312&gt;12*$D$14,0,E311*$D$10/12)</f>
        <v>27893.838351494836</v>
      </c>
      <c r="D312" s="284">
        <f t="shared" ref="D312:D375" si="20">IF(A312&gt;12*$D$14,0,B312-C312)</f>
        <v>12670.018681372865</v>
      </c>
      <c r="E312" s="284">
        <f t="shared" ref="E312:E375" si="21">IF(A312&gt;12*$D$14,0,E311-D312)</f>
        <v>5342946.9448056361</v>
      </c>
      <c r="F312" s="283"/>
      <c r="G312" s="278"/>
      <c r="H312" s="272"/>
      <c r="I312" s="278"/>
    </row>
    <row r="313" spans="1:9">
      <c r="A313" s="336">
        <v>258</v>
      </c>
      <c r="B313" s="284">
        <f t="shared" si="18"/>
        <v>40563.857032867701</v>
      </c>
      <c r="C313" s="284">
        <f t="shared" si="19"/>
        <v>27827.848670862688</v>
      </c>
      <c r="D313" s="284">
        <f t="shared" si="20"/>
        <v>12736.008362005014</v>
      </c>
      <c r="E313" s="284">
        <f t="shared" si="21"/>
        <v>5330210.9364436306</v>
      </c>
      <c r="F313" s="283"/>
      <c r="G313" s="335"/>
      <c r="H313" s="291"/>
      <c r="I313" s="278"/>
    </row>
    <row r="314" spans="1:9">
      <c r="A314" s="336">
        <v>259</v>
      </c>
      <c r="B314" s="284">
        <f t="shared" si="18"/>
        <v>40563.857032867701</v>
      </c>
      <c r="C314" s="284">
        <f t="shared" si="19"/>
        <v>27761.515293977242</v>
      </c>
      <c r="D314" s="284">
        <f t="shared" si="20"/>
        <v>12802.34173889046</v>
      </c>
      <c r="E314" s="284">
        <f t="shared" si="21"/>
        <v>5317408.5947047397</v>
      </c>
      <c r="F314" s="283"/>
      <c r="G314" s="278"/>
      <c r="H314" s="272"/>
      <c r="I314" s="278"/>
    </row>
    <row r="315" spans="1:9">
      <c r="A315" s="336">
        <v>260</v>
      </c>
      <c r="B315" s="284">
        <f t="shared" si="18"/>
        <v>40563.857032867701</v>
      </c>
      <c r="C315" s="284">
        <f t="shared" si="19"/>
        <v>27694.836430753854</v>
      </c>
      <c r="D315" s="284">
        <f t="shared" si="20"/>
        <v>12869.020602113847</v>
      </c>
      <c r="E315" s="284">
        <f t="shared" si="21"/>
        <v>5304539.5741026262</v>
      </c>
      <c r="F315" s="283"/>
      <c r="G315" s="278"/>
      <c r="H315" s="272"/>
      <c r="I315" s="278"/>
    </row>
    <row r="316" spans="1:9">
      <c r="A316" s="336">
        <v>261</v>
      </c>
      <c r="B316" s="284">
        <f t="shared" si="18"/>
        <v>40563.857032867701</v>
      </c>
      <c r="C316" s="284">
        <f t="shared" si="19"/>
        <v>27627.81028178451</v>
      </c>
      <c r="D316" s="284">
        <f t="shared" si="20"/>
        <v>12936.046751083191</v>
      </c>
      <c r="E316" s="284">
        <f t="shared" si="21"/>
        <v>5291603.5273515433</v>
      </c>
      <c r="F316" s="283"/>
      <c r="G316" s="278"/>
      <c r="H316" s="272"/>
      <c r="I316" s="278"/>
    </row>
    <row r="317" spans="1:9">
      <c r="A317" s="336">
        <v>262</v>
      </c>
      <c r="B317" s="284">
        <f t="shared" si="18"/>
        <v>40563.857032867701</v>
      </c>
      <c r="C317" s="284">
        <f t="shared" si="19"/>
        <v>27560.435038289288</v>
      </c>
      <c r="D317" s="284">
        <f t="shared" si="20"/>
        <v>13003.421994578413</v>
      </c>
      <c r="E317" s="284">
        <f t="shared" si="21"/>
        <v>5278600.1053569652</v>
      </c>
      <c r="F317" s="283"/>
      <c r="G317" s="278"/>
      <c r="H317" s="272"/>
      <c r="I317" s="278"/>
    </row>
    <row r="318" spans="1:9">
      <c r="A318" s="336">
        <v>263</v>
      </c>
      <c r="B318" s="284">
        <f t="shared" si="18"/>
        <v>40563.857032867701</v>
      </c>
      <c r="C318" s="284">
        <f t="shared" si="19"/>
        <v>27492.708882067527</v>
      </c>
      <c r="D318" s="284">
        <f t="shared" si="20"/>
        <v>13071.148150800174</v>
      </c>
      <c r="E318" s="284">
        <f t="shared" si="21"/>
        <v>5265528.9572061654</v>
      </c>
      <c r="F318" s="283"/>
      <c r="G318" s="278"/>
      <c r="H318" s="272"/>
      <c r="I318" s="278"/>
    </row>
    <row r="319" spans="1:9">
      <c r="A319" s="336">
        <v>264</v>
      </c>
      <c r="B319" s="284">
        <f t="shared" si="18"/>
        <v>40563.857032867701</v>
      </c>
      <c r="C319" s="284">
        <f t="shared" si="19"/>
        <v>27424.629985448777</v>
      </c>
      <c r="D319" s="284">
        <f t="shared" si="20"/>
        <v>13139.227047418924</v>
      </c>
      <c r="E319" s="284">
        <f t="shared" si="21"/>
        <v>5252389.7301587462</v>
      </c>
      <c r="F319" s="283">
        <v>22</v>
      </c>
      <c r="G319" s="335"/>
      <c r="H319" s="291"/>
      <c r="I319" s="335"/>
    </row>
    <row r="320" spans="1:9">
      <c r="A320" s="336">
        <v>265</v>
      </c>
      <c r="B320" s="284">
        <f t="shared" si="18"/>
        <v>40563.857032867701</v>
      </c>
      <c r="C320" s="284">
        <f t="shared" si="19"/>
        <v>27356.19651124347</v>
      </c>
      <c r="D320" s="284">
        <f t="shared" si="20"/>
        <v>13207.660521624231</v>
      </c>
      <c r="E320" s="284">
        <f t="shared" si="21"/>
        <v>5239182.0696371216</v>
      </c>
      <c r="F320" s="283"/>
      <c r="G320" s="278"/>
      <c r="H320" s="272"/>
      <c r="I320" s="335"/>
    </row>
    <row r="321" spans="1:9">
      <c r="A321" s="336">
        <v>266</v>
      </c>
      <c r="B321" s="284">
        <f t="shared" si="18"/>
        <v>40563.857032867701</v>
      </c>
      <c r="C321" s="284">
        <f t="shared" si="19"/>
        <v>27287.406612693343</v>
      </c>
      <c r="D321" s="284">
        <f t="shared" si="20"/>
        <v>13276.450420174358</v>
      </c>
      <c r="E321" s="284">
        <f t="shared" si="21"/>
        <v>5225905.6192169469</v>
      </c>
      <c r="F321" s="283"/>
      <c r="G321" s="278"/>
      <c r="H321" s="272"/>
      <c r="I321" s="278"/>
    </row>
    <row r="322" spans="1:9">
      <c r="A322" s="336">
        <v>267</v>
      </c>
      <c r="B322" s="284">
        <f t="shared" si="18"/>
        <v>40563.857032867701</v>
      </c>
      <c r="C322" s="284">
        <f t="shared" si="19"/>
        <v>27218.258433421597</v>
      </c>
      <c r="D322" s="284">
        <f t="shared" si="20"/>
        <v>13345.598599446104</v>
      </c>
      <c r="E322" s="284">
        <f t="shared" si="21"/>
        <v>5212560.0206175009</v>
      </c>
      <c r="F322" s="283"/>
      <c r="G322" s="278"/>
      <c r="H322" s="272"/>
      <c r="I322" s="278"/>
    </row>
    <row r="323" spans="1:9">
      <c r="A323" s="336">
        <v>268</v>
      </c>
      <c r="B323" s="284">
        <f t="shared" si="18"/>
        <v>40563.857032867701</v>
      </c>
      <c r="C323" s="284">
        <f t="shared" si="19"/>
        <v>27148.750107382817</v>
      </c>
      <c r="D323" s="284">
        <f t="shared" si="20"/>
        <v>13415.106925484884</v>
      </c>
      <c r="E323" s="284">
        <f t="shared" si="21"/>
        <v>5199144.9136920162</v>
      </c>
      <c r="F323" s="283"/>
      <c r="G323" s="278"/>
      <c r="H323" s="272"/>
      <c r="I323" s="278"/>
    </row>
    <row r="324" spans="1:9">
      <c r="A324" s="336">
        <v>269</v>
      </c>
      <c r="B324" s="284">
        <f t="shared" si="18"/>
        <v>40563.857032867701</v>
      </c>
      <c r="C324" s="284">
        <f t="shared" si="19"/>
        <v>27078.879758812585</v>
      </c>
      <c r="D324" s="284">
        <f t="shared" si="20"/>
        <v>13484.977274055116</v>
      </c>
      <c r="E324" s="284">
        <f t="shared" si="21"/>
        <v>5185659.9364179615</v>
      </c>
      <c r="F324" s="283"/>
      <c r="G324" s="278"/>
      <c r="H324" s="272"/>
      <c r="I324" s="278"/>
    </row>
    <row r="325" spans="1:9">
      <c r="A325" s="336">
        <v>270</v>
      </c>
      <c r="B325" s="284">
        <f t="shared" si="18"/>
        <v>40563.857032867701</v>
      </c>
      <c r="C325" s="284">
        <f t="shared" si="19"/>
        <v>27008.645502176882</v>
      </c>
      <c r="D325" s="284">
        <f t="shared" si="20"/>
        <v>13555.21153069082</v>
      </c>
      <c r="E325" s="284">
        <f t="shared" si="21"/>
        <v>5172104.7248872705</v>
      </c>
      <c r="F325" s="283"/>
      <c r="G325" s="335"/>
      <c r="H325" s="291"/>
      <c r="I325" s="278"/>
    </row>
    <row r="326" spans="1:9">
      <c r="A326" s="336">
        <v>271</v>
      </c>
      <c r="B326" s="284">
        <f t="shared" si="18"/>
        <v>40563.857032867701</v>
      </c>
      <c r="C326" s="284">
        <f t="shared" si="19"/>
        <v>26938.045442121202</v>
      </c>
      <c r="D326" s="284">
        <f t="shared" si="20"/>
        <v>13625.8115907465</v>
      </c>
      <c r="E326" s="284">
        <f t="shared" si="21"/>
        <v>5158478.9132965244</v>
      </c>
      <c r="F326" s="283"/>
      <c r="G326" s="278"/>
      <c r="H326" s="272"/>
      <c r="I326" s="278"/>
    </row>
    <row r="327" spans="1:9">
      <c r="A327" s="336">
        <v>272</v>
      </c>
      <c r="B327" s="284">
        <f t="shared" si="18"/>
        <v>40563.857032867701</v>
      </c>
      <c r="C327" s="284">
        <f t="shared" si="19"/>
        <v>26867.077673419397</v>
      </c>
      <c r="D327" s="284">
        <f t="shared" si="20"/>
        <v>13696.779359448305</v>
      </c>
      <c r="E327" s="284">
        <f t="shared" si="21"/>
        <v>5144782.1339370757</v>
      </c>
      <c r="F327" s="283"/>
      <c r="G327" s="278"/>
      <c r="H327" s="272"/>
      <c r="I327" s="278"/>
    </row>
    <row r="328" spans="1:9">
      <c r="A328" s="336">
        <v>273</v>
      </c>
      <c r="B328" s="284">
        <f t="shared" si="18"/>
        <v>40563.857032867701</v>
      </c>
      <c r="C328" s="284">
        <f t="shared" si="19"/>
        <v>26795.740280922269</v>
      </c>
      <c r="D328" s="284">
        <f t="shared" si="20"/>
        <v>13768.116751945432</v>
      </c>
      <c r="E328" s="284">
        <f t="shared" si="21"/>
        <v>5131014.0171851302</v>
      </c>
      <c r="F328" s="283"/>
      <c r="G328" s="278"/>
      <c r="H328" s="272"/>
      <c r="I328" s="278"/>
    </row>
    <row r="329" spans="1:9">
      <c r="A329" s="336">
        <v>274</v>
      </c>
      <c r="B329" s="284">
        <f t="shared" si="18"/>
        <v>40563.857032867701</v>
      </c>
      <c r="C329" s="284">
        <f t="shared" si="19"/>
        <v>26724.031339505887</v>
      </c>
      <c r="D329" s="284">
        <f t="shared" si="20"/>
        <v>13839.825693361814</v>
      </c>
      <c r="E329" s="284">
        <f t="shared" si="21"/>
        <v>5117174.1914917687</v>
      </c>
      <c r="F329" s="283"/>
      <c r="G329" s="278"/>
      <c r="H329" s="272"/>
      <c r="I329" s="278"/>
    </row>
    <row r="330" spans="1:9">
      <c r="A330" s="336">
        <v>275</v>
      </c>
      <c r="B330" s="284">
        <f t="shared" si="18"/>
        <v>40563.857032867701</v>
      </c>
      <c r="C330" s="284">
        <f t="shared" si="19"/>
        <v>26651.948914019627</v>
      </c>
      <c r="D330" s="284">
        <f t="shared" si="20"/>
        <v>13911.908118848074</v>
      </c>
      <c r="E330" s="284">
        <f t="shared" si="21"/>
        <v>5103262.2833729209</v>
      </c>
      <c r="F330" s="283"/>
      <c r="G330" s="278"/>
      <c r="H330" s="272"/>
      <c r="I330" s="278"/>
    </row>
    <row r="331" spans="1:9">
      <c r="A331" s="336">
        <v>276</v>
      </c>
      <c r="B331" s="284">
        <f t="shared" si="18"/>
        <v>40563.857032867701</v>
      </c>
      <c r="C331" s="284">
        <f t="shared" si="19"/>
        <v>26579.491059233962</v>
      </c>
      <c r="D331" s="284">
        <f t="shared" si="20"/>
        <v>13984.365973633739</v>
      </c>
      <c r="E331" s="284">
        <f t="shared" si="21"/>
        <v>5089277.9173992872</v>
      </c>
      <c r="F331" s="283">
        <v>23</v>
      </c>
      <c r="G331" s="335"/>
      <c r="H331" s="291"/>
      <c r="I331" s="335"/>
    </row>
    <row r="332" spans="1:9">
      <c r="A332" s="336">
        <v>277</v>
      </c>
      <c r="B332" s="284">
        <f t="shared" si="18"/>
        <v>40563.857032867701</v>
      </c>
      <c r="C332" s="284">
        <f t="shared" si="19"/>
        <v>26506.655819787953</v>
      </c>
      <c r="D332" s="284">
        <f t="shared" si="20"/>
        <v>14057.201213079748</v>
      </c>
      <c r="E332" s="284">
        <f t="shared" si="21"/>
        <v>5075220.7161862077</v>
      </c>
      <c r="F332" s="283"/>
      <c r="G332" s="278"/>
      <c r="H332" s="272"/>
      <c r="I332" s="335"/>
    </row>
    <row r="333" spans="1:9">
      <c r="A333" s="336">
        <v>278</v>
      </c>
      <c r="B333" s="284">
        <f t="shared" si="18"/>
        <v>40563.857032867701</v>
      </c>
      <c r="C333" s="284">
        <f t="shared" si="19"/>
        <v>26433.441230136497</v>
      </c>
      <c r="D333" s="284">
        <f t="shared" si="20"/>
        <v>14130.415802731204</v>
      </c>
      <c r="E333" s="284">
        <f t="shared" si="21"/>
        <v>5061090.3003834765</v>
      </c>
      <c r="F333" s="283"/>
      <c r="G333" s="278"/>
      <c r="H333" s="272"/>
      <c r="I333" s="278"/>
    </row>
    <row r="334" spans="1:9">
      <c r="A334" s="336">
        <v>279</v>
      </c>
      <c r="B334" s="284">
        <f t="shared" si="18"/>
        <v>40563.857032867701</v>
      </c>
      <c r="C334" s="284">
        <f t="shared" si="19"/>
        <v>26359.845314497274</v>
      </c>
      <c r="D334" s="284">
        <f t="shared" si="20"/>
        <v>14204.011718370428</v>
      </c>
      <c r="E334" s="284">
        <f t="shared" si="21"/>
        <v>5046886.2886651065</v>
      </c>
      <c r="F334" s="283"/>
      <c r="G334" s="278"/>
      <c r="H334" s="272"/>
      <c r="I334" s="278"/>
    </row>
    <row r="335" spans="1:9">
      <c r="A335" s="336">
        <v>280</v>
      </c>
      <c r="B335" s="284">
        <f t="shared" si="18"/>
        <v>40563.857032867701</v>
      </c>
      <c r="C335" s="284">
        <f t="shared" si="19"/>
        <v>26285.866086797429</v>
      </c>
      <c r="D335" s="284">
        <f t="shared" si="20"/>
        <v>14277.990946070273</v>
      </c>
      <c r="E335" s="284">
        <f t="shared" si="21"/>
        <v>5032608.2977190362</v>
      </c>
      <c r="F335" s="283"/>
      <c r="G335" s="278"/>
      <c r="H335" s="272"/>
      <c r="I335" s="278"/>
    </row>
    <row r="336" spans="1:9">
      <c r="A336" s="336">
        <v>281</v>
      </c>
      <c r="B336" s="284">
        <f t="shared" si="18"/>
        <v>40563.857032867701</v>
      </c>
      <c r="C336" s="284">
        <f t="shared" si="19"/>
        <v>26211.501550619982</v>
      </c>
      <c r="D336" s="284">
        <f t="shared" si="20"/>
        <v>14352.35548224772</v>
      </c>
      <c r="E336" s="284">
        <f t="shared" si="21"/>
        <v>5018255.9422367886</v>
      </c>
      <c r="F336" s="283"/>
      <c r="G336" s="278"/>
      <c r="H336" s="272"/>
      <c r="I336" s="278"/>
    </row>
    <row r="337" spans="1:9">
      <c r="A337" s="336">
        <v>282</v>
      </c>
      <c r="B337" s="284">
        <f t="shared" si="18"/>
        <v>40563.857032867701</v>
      </c>
      <c r="C337" s="284">
        <f t="shared" si="19"/>
        <v>26136.749699149939</v>
      </c>
      <c r="D337" s="284">
        <f t="shared" si="20"/>
        <v>14427.107333717762</v>
      </c>
      <c r="E337" s="284">
        <f t="shared" si="21"/>
        <v>5003828.8349030707</v>
      </c>
      <c r="F337" s="283"/>
      <c r="G337" s="335"/>
      <c r="H337" s="291"/>
      <c r="I337" s="278"/>
    </row>
    <row r="338" spans="1:9">
      <c r="A338" s="336">
        <v>283</v>
      </c>
      <c r="B338" s="284">
        <f t="shared" si="18"/>
        <v>40563.857032867701</v>
      </c>
      <c r="C338" s="284">
        <f t="shared" si="19"/>
        <v>26061.608515120159</v>
      </c>
      <c r="D338" s="284">
        <f t="shared" si="20"/>
        <v>14502.248517747543</v>
      </c>
      <c r="E338" s="284">
        <f t="shared" si="21"/>
        <v>4989326.5863853227</v>
      </c>
      <c r="F338" s="283"/>
      <c r="G338" s="278"/>
      <c r="H338" s="272"/>
      <c r="I338" s="278"/>
    </row>
    <row r="339" spans="1:9">
      <c r="A339" s="336">
        <v>284</v>
      </c>
      <c r="B339" s="284">
        <f t="shared" si="18"/>
        <v>40563.857032867701</v>
      </c>
      <c r="C339" s="284">
        <f t="shared" si="19"/>
        <v>25986.07597075689</v>
      </c>
      <c r="D339" s="284">
        <f t="shared" si="20"/>
        <v>14577.781062110811</v>
      </c>
      <c r="E339" s="284">
        <f t="shared" si="21"/>
        <v>4974748.8053232115</v>
      </c>
      <c r="F339" s="283"/>
      <c r="G339" s="278"/>
      <c r="H339" s="272"/>
      <c r="I339" s="278"/>
    </row>
    <row r="340" spans="1:9">
      <c r="A340" s="336">
        <v>285</v>
      </c>
      <c r="B340" s="284">
        <f t="shared" si="18"/>
        <v>40563.857032867701</v>
      </c>
      <c r="C340" s="284">
        <f t="shared" si="19"/>
        <v>25910.15002772506</v>
      </c>
      <c r="D340" s="284">
        <f t="shared" si="20"/>
        <v>14653.707005142642</v>
      </c>
      <c r="E340" s="284">
        <f t="shared" si="21"/>
        <v>4960095.0983180692</v>
      </c>
      <c r="F340" s="283"/>
      <c r="G340" s="278"/>
      <c r="H340" s="272"/>
      <c r="I340" s="278"/>
    </row>
    <row r="341" spans="1:9">
      <c r="A341" s="336">
        <v>286</v>
      </c>
      <c r="B341" s="284">
        <f t="shared" si="18"/>
        <v>40563.857032867701</v>
      </c>
      <c r="C341" s="284">
        <f t="shared" si="19"/>
        <v>25833.828637073279</v>
      </c>
      <c r="D341" s="284">
        <f t="shared" si="20"/>
        <v>14730.028395794423</v>
      </c>
      <c r="E341" s="284">
        <f t="shared" si="21"/>
        <v>4945365.0699222749</v>
      </c>
      <c r="F341" s="283"/>
      <c r="G341" s="278"/>
      <c r="H341" s="272"/>
      <c r="I341" s="278"/>
    </row>
    <row r="342" spans="1:9">
      <c r="A342" s="336">
        <v>287</v>
      </c>
      <c r="B342" s="284">
        <f t="shared" si="18"/>
        <v>40563.857032867701</v>
      </c>
      <c r="C342" s="284">
        <f t="shared" si="19"/>
        <v>25757.109739178515</v>
      </c>
      <c r="D342" s="284">
        <f t="shared" si="20"/>
        <v>14806.747293689186</v>
      </c>
      <c r="E342" s="284">
        <f t="shared" si="21"/>
        <v>4930558.3226285856</v>
      </c>
      <c r="F342" s="283"/>
      <c r="G342" s="278"/>
      <c r="H342" s="272"/>
      <c r="I342" s="278"/>
    </row>
    <row r="343" spans="1:9">
      <c r="A343" s="336">
        <v>288</v>
      </c>
      <c r="B343" s="284">
        <f t="shared" si="18"/>
        <v>40563.857032867701</v>
      </c>
      <c r="C343" s="284">
        <f t="shared" si="19"/>
        <v>25679.99126369055</v>
      </c>
      <c r="D343" s="284">
        <f t="shared" si="20"/>
        <v>14883.865769177151</v>
      </c>
      <c r="E343" s="284">
        <f t="shared" si="21"/>
        <v>4915674.4568594089</v>
      </c>
      <c r="F343" s="283">
        <v>24</v>
      </c>
      <c r="G343" s="335"/>
      <c r="H343" s="291"/>
      <c r="I343" s="335"/>
    </row>
    <row r="344" spans="1:9">
      <c r="A344" s="336">
        <v>289</v>
      </c>
      <c r="B344" s="284">
        <f t="shared" si="18"/>
        <v>40563.857032867701</v>
      </c>
      <c r="C344" s="284">
        <f t="shared" si="19"/>
        <v>25602.471129476089</v>
      </c>
      <c r="D344" s="284">
        <f t="shared" si="20"/>
        <v>14961.385903391612</v>
      </c>
      <c r="E344" s="284">
        <f t="shared" si="21"/>
        <v>4900713.0709560169</v>
      </c>
      <c r="F344" s="283"/>
      <c r="G344" s="278"/>
      <c r="H344" s="272"/>
      <c r="I344" s="335"/>
    </row>
    <row r="345" spans="1:9">
      <c r="A345" s="336">
        <v>290</v>
      </c>
      <c r="B345" s="284">
        <f t="shared" si="18"/>
        <v>40563.857032867701</v>
      </c>
      <c r="C345" s="284">
        <f t="shared" si="19"/>
        <v>25524.547244562589</v>
      </c>
      <c r="D345" s="284">
        <f t="shared" si="20"/>
        <v>15039.309788305112</v>
      </c>
      <c r="E345" s="284">
        <f t="shared" si="21"/>
        <v>4885673.7611677116</v>
      </c>
      <c r="F345" s="283"/>
      <c r="G345" s="278"/>
      <c r="H345" s="272"/>
      <c r="I345" s="278"/>
    </row>
    <row r="346" spans="1:9">
      <c r="A346" s="336">
        <v>291</v>
      </c>
      <c r="B346" s="284">
        <f t="shared" si="18"/>
        <v>40563.857032867701</v>
      </c>
      <c r="C346" s="284">
        <f t="shared" si="19"/>
        <v>25446.21750608183</v>
      </c>
      <c r="D346" s="284">
        <f t="shared" si="20"/>
        <v>15117.639526785872</v>
      </c>
      <c r="E346" s="284">
        <f t="shared" si="21"/>
        <v>4870556.1216409253</v>
      </c>
      <c r="F346" s="283"/>
      <c r="G346" s="278"/>
      <c r="H346" s="272"/>
      <c r="I346" s="278"/>
    </row>
    <row r="347" spans="1:9">
      <c r="A347" s="336">
        <v>292</v>
      </c>
      <c r="B347" s="284">
        <f t="shared" si="18"/>
        <v>40563.857032867701</v>
      </c>
      <c r="C347" s="284">
        <f t="shared" si="19"/>
        <v>25367.479800213154</v>
      </c>
      <c r="D347" s="284">
        <f t="shared" si="20"/>
        <v>15196.377232654548</v>
      </c>
      <c r="E347" s="284">
        <f t="shared" si="21"/>
        <v>4855359.7444082703</v>
      </c>
      <c r="F347" s="283"/>
      <c r="G347" s="278"/>
      <c r="H347" s="272"/>
      <c r="I347" s="278"/>
    </row>
    <row r="348" spans="1:9">
      <c r="A348" s="336">
        <v>293</v>
      </c>
      <c r="B348" s="284">
        <f t="shared" si="18"/>
        <v>40563.857032867701</v>
      </c>
      <c r="C348" s="284">
        <f t="shared" si="19"/>
        <v>25288.332002126408</v>
      </c>
      <c r="D348" s="284">
        <f t="shared" si="20"/>
        <v>15275.525030741293</v>
      </c>
      <c r="E348" s="284">
        <f t="shared" si="21"/>
        <v>4840084.2193775289</v>
      </c>
      <c r="F348" s="283"/>
      <c r="G348" s="278"/>
      <c r="H348" s="272"/>
      <c r="I348" s="278"/>
    </row>
    <row r="349" spans="1:9">
      <c r="A349" s="336">
        <v>294</v>
      </c>
      <c r="B349" s="284">
        <f t="shared" si="18"/>
        <v>40563.857032867701</v>
      </c>
      <c r="C349" s="284">
        <f t="shared" si="19"/>
        <v>25208.771975924628</v>
      </c>
      <c r="D349" s="284">
        <f t="shared" si="20"/>
        <v>15355.085056943073</v>
      </c>
      <c r="E349" s="284">
        <f t="shared" si="21"/>
        <v>4824729.134320586</v>
      </c>
      <c r="F349" s="283"/>
      <c r="G349" s="335"/>
      <c r="H349" s="291"/>
      <c r="I349" s="278"/>
    </row>
    <row r="350" spans="1:9">
      <c r="A350" s="336">
        <v>295</v>
      </c>
      <c r="B350" s="284">
        <f t="shared" si="18"/>
        <v>40563.857032867701</v>
      </c>
      <c r="C350" s="284">
        <f t="shared" si="19"/>
        <v>25128.797574586384</v>
      </c>
      <c r="D350" s="284">
        <f t="shared" si="20"/>
        <v>15435.059458281317</v>
      </c>
      <c r="E350" s="284">
        <f t="shared" si="21"/>
        <v>4809294.0748623051</v>
      </c>
      <c r="F350" s="283"/>
      <c r="G350" s="278"/>
      <c r="H350" s="272"/>
      <c r="I350" s="278"/>
    </row>
    <row r="351" spans="1:9">
      <c r="A351" s="336">
        <v>296</v>
      </c>
      <c r="B351" s="284">
        <f t="shared" si="18"/>
        <v>40563.857032867701</v>
      </c>
      <c r="C351" s="284">
        <f t="shared" si="19"/>
        <v>25048.40663990784</v>
      </c>
      <c r="D351" s="284">
        <f t="shared" si="20"/>
        <v>15515.450392959861</v>
      </c>
      <c r="E351" s="284">
        <f t="shared" si="21"/>
        <v>4793778.6244693454</v>
      </c>
      <c r="F351" s="283"/>
      <c r="G351" s="278"/>
      <c r="H351" s="272"/>
      <c r="I351" s="278"/>
    </row>
    <row r="352" spans="1:9">
      <c r="A352" s="336">
        <v>297</v>
      </c>
      <c r="B352" s="284">
        <f t="shared" si="18"/>
        <v>40563.857032867701</v>
      </c>
      <c r="C352" s="284">
        <f t="shared" si="19"/>
        <v>24967.597002444509</v>
      </c>
      <c r="D352" s="284">
        <f t="shared" si="20"/>
        <v>15596.260030423193</v>
      </c>
      <c r="E352" s="284">
        <f t="shared" si="21"/>
        <v>4778182.3644389221</v>
      </c>
      <c r="F352" s="283"/>
      <c r="G352" s="278"/>
      <c r="H352" s="272"/>
      <c r="I352" s="278"/>
    </row>
    <row r="353" spans="1:9">
      <c r="A353" s="336">
        <v>298</v>
      </c>
      <c r="B353" s="284">
        <f t="shared" si="18"/>
        <v>40563.857032867701</v>
      </c>
      <c r="C353" s="284">
        <f t="shared" si="19"/>
        <v>24886.366481452718</v>
      </c>
      <c r="D353" s="284">
        <f t="shared" si="20"/>
        <v>15677.490551414983</v>
      </c>
      <c r="E353" s="284">
        <f t="shared" si="21"/>
        <v>4762504.8738875072</v>
      </c>
      <c r="F353" s="283"/>
      <c r="G353" s="278"/>
      <c r="H353" s="272"/>
      <c r="I353" s="278"/>
    </row>
    <row r="354" spans="1:9">
      <c r="A354" s="336">
        <v>299</v>
      </c>
      <c r="B354" s="284">
        <f t="shared" si="18"/>
        <v>40563.857032867701</v>
      </c>
      <c r="C354" s="284">
        <f t="shared" si="19"/>
        <v>24804.712884830766</v>
      </c>
      <c r="D354" s="284">
        <f t="shared" si="20"/>
        <v>15759.144148036936</v>
      </c>
      <c r="E354" s="284">
        <f t="shared" si="21"/>
        <v>4746745.7297394704</v>
      </c>
      <c r="F354" s="283"/>
      <c r="G354" s="278"/>
      <c r="H354" s="272"/>
      <c r="I354" s="278"/>
    </row>
    <row r="355" spans="1:9">
      <c r="A355" s="336">
        <v>300</v>
      </c>
      <c r="B355" s="284">
        <f t="shared" si="18"/>
        <v>40563.857032867701</v>
      </c>
      <c r="C355" s="284">
        <f t="shared" si="19"/>
        <v>24722.63400905974</v>
      </c>
      <c r="D355" s="284">
        <f t="shared" si="20"/>
        <v>15841.223023807961</v>
      </c>
      <c r="E355" s="284">
        <f t="shared" si="21"/>
        <v>4730904.5067156628</v>
      </c>
      <c r="F355" s="283">
        <v>25</v>
      </c>
      <c r="G355" s="335"/>
      <c r="H355" s="291"/>
      <c r="I355" s="335"/>
    </row>
    <row r="356" spans="1:9">
      <c r="A356" s="336">
        <v>301</v>
      </c>
      <c r="B356" s="284">
        <f t="shared" si="18"/>
        <v>40563.857032867701</v>
      </c>
      <c r="C356" s="284">
        <f t="shared" si="19"/>
        <v>24640.127639144077</v>
      </c>
      <c r="D356" s="284">
        <f t="shared" si="20"/>
        <v>15923.729393723625</v>
      </c>
      <c r="E356" s="284">
        <f t="shared" si="21"/>
        <v>4714980.7773219394</v>
      </c>
      <c r="F356" s="283"/>
      <c r="G356" s="278"/>
      <c r="H356" s="272"/>
      <c r="I356" s="335"/>
    </row>
    <row r="357" spans="1:9">
      <c r="A357" s="336">
        <v>302</v>
      </c>
      <c r="B357" s="284">
        <f t="shared" si="18"/>
        <v>40563.857032867701</v>
      </c>
      <c r="C357" s="284">
        <f t="shared" si="19"/>
        <v>24557.191548551767</v>
      </c>
      <c r="D357" s="284">
        <f t="shared" si="20"/>
        <v>16006.665484315934</v>
      </c>
      <c r="E357" s="284">
        <f t="shared" si="21"/>
        <v>4698974.1118376236</v>
      </c>
      <c r="F357" s="283"/>
      <c r="G357" s="278"/>
      <c r="H357" s="272"/>
      <c r="I357" s="278"/>
    </row>
    <row r="358" spans="1:9">
      <c r="A358" s="336">
        <v>303</v>
      </c>
      <c r="B358" s="284">
        <f t="shared" si="18"/>
        <v>40563.857032867701</v>
      </c>
      <c r="C358" s="284">
        <f t="shared" si="19"/>
        <v>24473.823499154289</v>
      </c>
      <c r="D358" s="284">
        <f t="shared" si="20"/>
        <v>16090.033533713413</v>
      </c>
      <c r="E358" s="284">
        <f t="shared" si="21"/>
        <v>4682884.0783039099</v>
      </c>
      <c r="F358" s="283"/>
      <c r="G358" s="278"/>
      <c r="H358" s="272"/>
      <c r="I358" s="278"/>
    </row>
    <row r="359" spans="1:9">
      <c r="A359" s="336">
        <v>304</v>
      </c>
      <c r="B359" s="284">
        <f t="shared" si="18"/>
        <v>40563.857032867701</v>
      </c>
      <c r="C359" s="284">
        <f t="shared" si="19"/>
        <v>24390.021241166196</v>
      </c>
      <c r="D359" s="284">
        <f t="shared" si="20"/>
        <v>16173.835791701506</v>
      </c>
      <c r="E359" s="284">
        <f t="shared" si="21"/>
        <v>4666710.2425122084</v>
      </c>
      <c r="F359" s="283"/>
      <c r="G359" s="278"/>
      <c r="H359" s="272"/>
      <c r="I359" s="278"/>
    </row>
    <row r="360" spans="1:9">
      <c r="A360" s="336">
        <v>305</v>
      </c>
      <c r="B360" s="284">
        <f t="shared" si="18"/>
        <v>40563.857032867701</v>
      </c>
      <c r="C360" s="284">
        <f t="shared" si="19"/>
        <v>24305.782513084418</v>
      </c>
      <c r="D360" s="284">
        <f t="shared" si="20"/>
        <v>16258.074519783284</v>
      </c>
      <c r="E360" s="284">
        <f t="shared" si="21"/>
        <v>4650452.1679924252</v>
      </c>
      <c r="F360" s="283"/>
      <c r="G360" s="278"/>
      <c r="H360" s="272"/>
      <c r="I360" s="278"/>
    </row>
    <row r="361" spans="1:9">
      <c r="A361" s="336">
        <v>306</v>
      </c>
      <c r="B361" s="284">
        <f t="shared" si="18"/>
        <v>40563.857032867701</v>
      </c>
      <c r="C361" s="284">
        <f t="shared" si="19"/>
        <v>24221.105041627216</v>
      </c>
      <c r="D361" s="284">
        <f t="shared" si="20"/>
        <v>16342.751991240486</v>
      </c>
      <c r="E361" s="284">
        <f t="shared" si="21"/>
        <v>4634109.4160011848</v>
      </c>
      <c r="F361" s="283"/>
      <c r="G361" s="335"/>
      <c r="H361" s="291"/>
      <c r="I361" s="278"/>
    </row>
    <row r="362" spans="1:9">
      <c r="A362" s="336">
        <v>307</v>
      </c>
      <c r="B362" s="284">
        <f t="shared" si="18"/>
        <v>40563.857032867701</v>
      </c>
      <c r="C362" s="284">
        <f t="shared" si="19"/>
        <v>24135.986541672839</v>
      </c>
      <c r="D362" s="284">
        <f t="shared" si="20"/>
        <v>16427.870491194863</v>
      </c>
      <c r="E362" s="284">
        <f t="shared" si="21"/>
        <v>4617681.5455099903</v>
      </c>
      <c r="F362" s="283"/>
      <c r="G362" s="278"/>
      <c r="H362" s="272"/>
      <c r="I362" s="278"/>
    </row>
    <row r="363" spans="1:9">
      <c r="A363" s="336">
        <v>308</v>
      </c>
      <c r="B363" s="284">
        <f t="shared" si="18"/>
        <v>40563.857032867701</v>
      </c>
      <c r="C363" s="284">
        <f t="shared" si="19"/>
        <v>24050.424716197867</v>
      </c>
      <c r="D363" s="284">
        <f t="shared" si="20"/>
        <v>16513.432316669834</v>
      </c>
      <c r="E363" s="284">
        <f t="shared" si="21"/>
        <v>4601168.1131933201</v>
      </c>
      <c r="F363" s="283"/>
      <c r="G363" s="278"/>
      <c r="H363" s="272"/>
      <c r="I363" s="278"/>
    </row>
    <row r="364" spans="1:9">
      <c r="A364" s="336">
        <v>309</v>
      </c>
      <c r="B364" s="284">
        <f t="shared" si="18"/>
        <v>40563.857032867701</v>
      </c>
      <c r="C364" s="284">
        <f t="shared" si="19"/>
        <v>23964.417256215209</v>
      </c>
      <c r="D364" s="284">
        <f t="shared" si="20"/>
        <v>16599.439776652493</v>
      </c>
      <c r="E364" s="284">
        <f t="shared" si="21"/>
        <v>4584568.6734166676</v>
      </c>
      <c r="F364" s="283"/>
      <c r="G364" s="278"/>
      <c r="H364" s="272"/>
      <c r="I364" s="278"/>
    </row>
    <row r="365" spans="1:9">
      <c r="A365" s="336">
        <v>310</v>
      </c>
      <c r="B365" s="284">
        <f t="shared" si="18"/>
        <v>40563.857032867701</v>
      </c>
      <c r="C365" s="284">
        <f t="shared" si="19"/>
        <v>23877.961840711811</v>
      </c>
      <c r="D365" s="284">
        <f t="shared" si="20"/>
        <v>16685.895192155891</v>
      </c>
      <c r="E365" s="284">
        <f t="shared" si="21"/>
        <v>4567882.778224512</v>
      </c>
      <c r="F365" s="283"/>
      <c r="G365" s="278"/>
      <c r="H365" s="272"/>
      <c r="I365" s="278"/>
    </row>
    <row r="366" spans="1:9">
      <c r="A366" s="336">
        <v>311</v>
      </c>
      <c r="B366" s="284">
        <f t="shared" si="18"/>
        <v>40563.857032867701</v>
      </c>
      <c r="C366" s="284">
        <f t="shared" si="19"/>
        <v>23791.056136586001</v>
      </c>
      <c r="D366" s="284">
        <f t="shared" si="20"/>
        <v>16772.8008962817</v>
      </c>
      <c r="E366" s="284">
        <f t="shared" si="21"/>
        <v>4551109.9773282306</v>
      </c>
      <c r="F366" s="283"/>
      <c r="G366" s="278"/>
      <c r="H366" s="272"/>
      <c r="I366" s="278"/>
    </row>
    <row r="367" spans="1:9">
      <c r="A367" s="336">
        <v>312</v>
      </c>
      <c r="B367" s="284">
        <f t="shared" si="18"/>
        <v>40563.857032867701</v>
      </c>
      <c r="C367" s="284">
        <f t="shared" si="19"/>
        <v>23703.697798584533</v>
      </c>
      <c r="D367" s="284">
        <f t="shared" si="20"/>
        <v>16860.159234283168</v>
      </c>
      <c r="E367" s="284">
        <f t="shared" si="21"/>
        <v>4534249.8180939471</v>
      </c>
      <c r="F367" s="283">
        <v>26</v>
      </c>
      <c r="G367" s="335"/>
      <c r="H367" s="291"/>
      <c r="I367" s="335"/>
    </row>
    <row r="368" spans="1:9">
      <c r="A368" s="336">
        <v>313</v>
      </c>
      <c r="B368" s="284">
        <f t="shared" si="18"/>
        <v>40563.857032867701</v>
      </c>
      <c r="C368" s="284">
        <f t="shared" si="19"/>
        <v>23615.884469239307</v>
      </c>
      <c r="D368" s="284">
        <f t="shared" si="20"/>
        <v>16947.972563628395</v>
      </c>
      <c r="E368" s="284">
        <f t="shared" si="21"/>
        <v>4517301.845530319</v>
      </c>
      <c r="F368" s="283"/>
      <c r="G368" s="278"/>
      <c r="H368" s="272"/>
      <c r="I368" s="335"/>
    </row>
    <row r="369" spans="1:9">
      <c r="A369" s="336">
        <v>314</v>
      </c>
      <c r="B369" s="284">
        <f t="shared" si="18"/>
        <v>40563.857032867701</v>
      </c>
      <c r="C369" s="284">
        <f t="shared" si="19"/>
        <v>23527.613778803745</v>
      </c>
      <c r="D369" s="284">
        <f t="shared" si="20"/>
        <v>17036.243254063957</v>
      </c>
      <c r="E369" s="284">
        <f t="shared" si="21"/>
        <v>4500265.6022762554</v>
      </c>
      <c r="F369" s="283"/>
      <c r="G369" s="278"/>
      <c r="H369" s="272"/>
      <c r="I369" s="278"/>
    </row>
    <row r="370" spans="1:9">
      <c r="A370" s="336">
        <v>315</v>
      </c>
      <c r="B370" s="284">
        <f t="shared" si="18"/>
        <v>40563.857032867701</v>
      </c>
      <c r="C370" s="284">
        <f t="shared" si="19"/>
        <v>23438.883345188831</v>
      </c>
      <c r="D370" s="284">
        <f t="shared" si="20"/>
        <v>17124.97368767887</v>
      </c>
      <c r="E370" s="284">
        <f t="shared" si="21"/>
        <v>4483140.6285885768</v>
      </c>
      <c r="F370" s="283"/>
      <c r="G370" s="278"/>
      <c r="H370" s="272"/>
      <c r="I370" s="278"/>
    </row>
    <row r="371" spans="1:9">
      <c r="A371" s="336">
        <v>316</v>
      </c>
      <c r="B371" s="284">
        <f t="shared" si="18"/>
        <v>40563.857032867701</v>
      </c>
      <c r="C371" s="284">
        <f t="shared" si="19"/>
        <v>23349.690773898838</v>
      </c>
      <c r="D371" s="284">
        <f t="shared" si="20"/>
        <v>17214.166258968864</v>
      </c>
      <c r="E371" s="284">
        <f t="shared" si="21"/>
        <v>4465926.4623296084</v>
      </c>
      <c r="F371" s="283"/>
      <c r="G371" s="278"/>
      <c r="H371" s="272"/>
      <c r="I371" s="278"/>
    </row>
    <row r="372" spans="1:9">
      <c r="A372" s="336">
        <v>317</v>
      </c>
      <c r="B372" s="284">
        <f t="shared" si="18"/>
        <v>40563.857032867701</v>
      </c>
      <c r="C372" s="284">
        <f t="shared" si="19"/>
        <v>23260.033657966709</v>
      </c>
      <c r="D372" s="284">
        <f t="shared" si="20"/>
        <v>17303.823374900992</v>
      </c>
      <c r="E372" s="284">
        <f t="shared" si="21"/>
        <v>4448622.6389547074</v>
      </c>
      <c r="F372" s="283"/>
      <c r="G372" s="278"/>
      <c r="H372" s="272"/>
      <c r="I372" s="278"/>
    </row>
    <row r="373" spans="1:9">
      <c r="A373" s="336">
        <v>318</v>
      </c>
      <c r="B373" s="284">
        <f t="shared" si="18"/>
        <v>40563.857032867701</v>
      </c>
      <c r="C373" s="284">
        <f t="shared" si="19"/>
        <v>23169.909577889102</v>
      </c>
      <c r="D373" s="284">
        <f t="shared" si="20"/>
        <v>17393.947454978599</v>
      </c>
      <c r="E373" s="284">
        <f t="shared" si="21"/>
        <v>4431228.6914997287</v>
      </c>
      <c r="F373" s="283"/>
      <c r="G373" s="335"/>
      <c r="H373" s="291"/>
      <c r="I373" s="278"/>
    </row>
    <row r="374" spans="1:9">
      <c r="A374" s="336">
        <v>319</v>
      </c>
      <c r="B374" s="284">
        <f t="shared" si="18"/>
        <v>40563.857032867701</v>
      </c>
      <c r="C374" s="284">
        <f t="shared" si="19"/>
        <v>23079.316101561086</v>
      </c>
      <c r="D374" s="284">
        <f t="shared" si="20"/>
        <v>17484.540931306616</v>
      </c>
      <c r="E374" s="284">
        <f t="shared" si="21"/>
        <v>4413744.1505684219</v>
      </c>
      <c r="F374" s="283"/>
      <c r="G374" s="278"/>
      <c r="H374" s="272"/>
      <c r="I374" s="278"/>
    </row>
    <row r="375" spans="1:9">
      <c r="A375" s="336">
        <v>320</v>
      </c>
      <c r="B375" s="284">
        <f t="shared" si="18"/>
        <v>40563.857032867701</v>
      </c>
      <c r="C375" s="284">
        <f t="shared" si="19"/>
        <v>22988.25078421053</v>
      </c>
      <c r="D375" s="284">
        <f t="shared" si="20"/>
        <v>17575.606248657172</v>
      </c>
      <c r="E375" s="284">
        <f t="shared" si="21"/>
        <v>4396168.5443197647</v>
      </c>
      <c r="F375" s="283"/>
      <c r="G375" s="278"/>
      <c r="H375" s="272"/>
      <c r="I375" s="278"/>
    </row>
    <row r="376" spans="1:9">
      <c r="A376" s="336">
        <v>321</v>
      </c>
      <c r="B376" s="284">
        <f t="shared" ref="B376:B439" si="22">IF(A376&gt;12*$D$14,0,$D$20)</f>
        <v>40563.857032867701</v>
      </c>
      <c r="C376" s="284">
        <f t="shared" ref="C376:C439" si="23">IF(A376&gt;12*$D$14,0,E375*$D$10/12)</f>
        <v>22896.711168332109</v>
      </c>
      <c r="D376" s="284">
        <f t="shared" ref="D376:D439" si="24">IF(A376&gt;12*$D$14,0,B376-C376)</f>
        <v>17667.145864535592</v>
      </c>
      <c r="E376" s="284">
        <f t="shared" ref="E376:E439" si="25">IF(A376&gt;12*$D$14,0,E375-D376)</f>
        <v>4378501.3984552287</v>
      </c>
      <c r="F376" s="283"/>
      <c r="G376" s="278"/>
      <c r="H376" s="272"/>
      <c r="I376" s="278"/>
    </row>
    <row r="377" spans="1:9">
      <c r="A377" s="336">
        <v>322</v>
      </c>
      <c r="B377" s="284">
        <f t="shared" si="22"/>
        <v>40563.857032867701</v>
      </c>
      <c r="C377" s="284">
        <f t="shared" si="23"/>
        <v>22804.694783620984</v>
      </c>
      <c r="D377" s="284">
        <f t="shared" si="24"/>
        <v>17759.162249246718</v>
      </c>
      <c r="E377" s="284">
        <f t="shared" si="25"/>
        <v>4360742.236205982</v>
      </c>
      <c r="F377" s="283"/>
      <c r="G377" s="278"/>
      <c r="H377" s="272"/>
      <c r="I377" s="278"/>
    </row>
    <row r="378" spans="1:9">
      <c r="A378" s="336">
        <v>323</v>
      </c>
      <c r="B378" s="284">
        <f t="shared" si="22"/>
        <v>40563.857032867701</v>
      </c>
      <c r="C378" s="284">
        <f t="shared" si="23"/>
        <v>22712.199146906158</v>
      </c>
      <c r="D378" s="284">
        <f t="shared" si="24"/>
        <v>17851.657885961544</v>
      </c>
      <c r="E378" s="284">
        <f t="shared" si="25"/>
        <v>4342890.5783200208</v>
      </c>
      <c r="F378" s="283"/>
      <c r="G378" s="278"/>
      <c r="H378" s="272"/>
      <c r="I378" s="278"/>
    </row>
    <row r="379" spans="1:9">
      <c r="A379" s="336">
        <v>324</v>
      </c>
      <c r="B379" s="284">
        <f t="shared" si="22"/>
        <v>40563.857032867701</v>
      </c>
      <c r="C379" s="284">
        <f t="shared" si="23"/>
        <v>22619.221762083442</v>
      </c>
      <c r="D379" s="284">
        <f t="shared" si="24"/>
        <v>17944.63527078426</v>
      </c>
      <c r="E379" s="284">
        <f t="shared" si="25"/>
        <v>4324945.9430492362</v>
      </c>
      <c r="F379" s="283">
        <v>27</v>
      </c>
      <c r="G379" s="335"/>
      <c r="H379" s="291"/>
      <c r="I379" s="335"/>
    </row>
    <row r="380" spans="1:9">
      <c r="A380" s="336">
        <v>325</v>
      </c>
      <c r="B380" s="284">
        <f t="shared" si="22"/>
        <v>40563.857032867701</v>
      </c>
      <c r="C380" s="284">
        <f t="shared" si="23"/>
        <v>22525.760120048104</v>
      </c>
      <c r="D380" s="284">
        <f t="shared" si="24"/>
        <v>18038.096912819597</v>
      </c>
      <c r="E380" s="284">
        <f t="shared" si="25"/>
        <v>4306907.8461364163</v>
      </c>
      <c r="F380" s="283"/>
      <c r="G380" s="278"/>
      <c r="H380" s="272"/>
      <c r="I380" s="335"/>
    </row>
    <row r="381" spans="1:9">
      <c r="A381" s="336">
        <v>326</v>
      </c>
      <c r="B381" s="284">
        <f t="shared" si="22"/>
        <v>40563.857032867701</v>
      </c>
      <c r="C381" s="284">
        <f t="shared" si="23"/>
        <v>22431.811698627167</v>
      </c>
      <c r="D381" s="284">
        <f t="shared" si="24"/>
        <v>18132.045334240534</v>
      </c>
      <c r="E381" s="284">
        <f t="shared" si="25"/>
        <v>4288775.8008021759</v>
      </c>
      <c r="F381" s="283"/>
      <c r="G381" s="278"/>
      <c r="H381" s="272"/>
      <c r="I381" s="278"/>
    </row>
    <row r="382" spans="1:9">
      <c r="A382" s="336">
        <v>327</v>
      </c>
      <c r="B382" s="284">
        <f t="shared" si="22"/>
        <v>40563.857032867701</v>
      </c>
      <c r="C382" s="284">
        <f t="shared" si="23"/>
        <v>22337.373962511334</v>
      </c>
      <c r="D382" s="284">
        <f t="shared" si="24"/>
        <v>18226.483070356368</v>
      </c>
      <c r="E382" s="284">
        <f t="shared" si="25"/>
        <v>4270549.3177318191</v>
      </c>
      <c r="F382" s="283"/>
      <c r="G382" s="278"/>
      <c r="H382" s="272"/>
      <c r="I382" s="278"/>
    </row>
    <row r="383" spans="1:9">
      <c r="A383" s="336">
        <v>328</v>
      </c>
      <c r="B383" s="284">
        <f t="shared" si="22"/>
        <v>40563.857032867701</v>
      </c>
      <c r="C383" s="284">
        <f t="shared" si="23"/>
        <v>22242.444363186558</v>
      </c>
      <c r="D383" s="284">
        <f t="shared" si="24"/>
        <v>18321.412669681144</v>
      </c>
      <c r="E383" s="284">
        <f t="shared" si="25"/>
        <v>4252227.9050621381</v>
      </c>
      <c r="F383" s="283"/>
      <c r="G383" s="278"/>
      <c r="H383" s="272"/>
      <c r="I383" s="278"/>
    </row>
    <row r="384" spans="1:9">
      <c r="A384" s="336">
        <v>329</v>
      </c>
      <c r="B384" s="284">
        <f t="shared" si="22"/>
        <v>40563.857032867701</v>
      </c>
      <c r="C384" s="284">
        <f t="shared" si="23"/>
        <v>22147.020338865303</v>
      </c>
      <c r="D384" s="284">
        <f t="shared" si="24"/>
        <v>18416.836694002399</v>
      </c>
      <c r="E384" s="284">
        <f t="shared" si="25"/>
        <v>4233811.068368136</v>
      </c>
      <c r="F384" s="283"/>
      <c r="G384" s="278"/>
      <c r="H384" s="272"/>
      <c r="I384" s="278"/>
    </row>
    <row r="385" spans="1:9">
      <c r="A385" s="336">
        <v>330</v>
      </c>
      <c r="B385" s="284">
        <f t="shared" si="22"/>
        <v>40563.857032867701</v>
      </c>
      <c r="C385" s="284">
        <f t="shared" si="23"/>
        <v>22051.099314417374</v>
      </c>
      <c r="D385" s="284">
        <f t="shared" si="24"/>
        <v>18512.757718450328</v>
      </c>
      <c r="E385" s="284">
        <f t="shared" si="25"/>
        <v>4215298.3106496856</v>
      </c>
      <c r="F385" s="283"/>
      <c r="G385" s="335"/>
      <c r="H385" s="291"/>
      <c r="I385" s="278"/>
    </row>
    <row r="386" spans="1:9">
      <c r="A386" s="336">
        <v>331</v>
      </c>
      <c r="B386" s="284">
        <f t="shared" si="22"/>
        <v>40563.857032867701</v>
      </c>
      <c r="C386" s="284">
        <f t="shared" si="23"/>
        <v>21954.678701300447</v>
      </c>
      <c r="D386" s="284">
        <f t="shared" si="24"/>
        <v>18609.178331567255</v>
      </c>
      <c r="E386" s="284">
        <f t="shared" si="25"/>
        <v>4196689.1323181186</v>
      </c>
      <c r="F386" s="283"/>
      <c r="G386" s="278"/>
      <c r="H386" s="272"/>
      <c r="I386" s="278"/>
    </row>
    <row r="387" spans="1:9">
      <c r="A387" s="336">
        <v>332</v>
      </c>
      <c r="B387" s="284">
        <f t="shared" si="22"/>
        <v>40563.857032867701</v>
      </c>
      <c r="C387" s="284">
        <f t="shared" si="23"/>
        <v>21857.755897490202</v>
      </c>
      <c r="D387" s="284">
        <f t="shared" si="24"/>
        <v>18706.101135377499</v>
      </c>
      <c r="E387" s="284">
        <f t="shared" si="25"/>
        <v>4177983.0311827413</v>
      </c>
      <c r="F387" s="283"/>
      <c r="G387" s="278"/>
      <c r="H387" s="272"/>
      <c r="I387" s="278"/>
    </row>
    <row r="388" spans="1:9">
      <c r="A388" s="336">
        <v>333</v>
      </c>
      <c r="B388" s="284">
        <f t="shared" si="22"/>
        <v>40563.857032867701</v>
      </c>
      <c r="C388" s="284">
        <f t="shared" si="23"/>
        <v>21760.32828741011</v>
      </c>
      <c r="D388" s="284">
        <f t="shared" si="24"/>
        <v>18803.528745457592</v>
      </c>
      <c r="E388" s="284">
        <f t="shared" si="25"/>
        <v>4159179.5024372838</v>
      </c>
      <c r="F388" s="283"/>
      <c r="G388" s="278"/>
      <c r="H388" s="272"/>
      <c r="I388" s="278"/>
    </row>
    <row r="389" spans="1:9">
      <c r="A389" s="336">
        <v>334</v>
      </c>
      <c r="B389" s="284">
        <f t="shared" si="22"/>
        <v>40563.857032867701</v>
      </c>
      <c r="C389" s="284">
        <f t="shared" si="23"/>
        <v>21662.393241860853</v>
      </c>
      <c r="D389" s="284">
        <f t="shared" si="24"/>
        <v>18901.463791006849</v>
      </c>
      <c r="E389" s="284">
        <f t="shared" si="25"/>
        <v>4140278.038646277</v>
      </c>
      <c r="F389" s="283"/>
      <c r="G389" s="278"/>
      <c r="H389" s="272"/>
      <c r="I389" s="278"/>
    </row>
    <row r="390" spans="1:9">
      <c r="A390" s="336">
        <v>335</v>
      </c>
      <c r="B390" s="284">
        <f t="shared" si="22"/>
        <v>40563.857032867701</v>
      </c>
      <c r="C390" s="284">
        <f t="shared" si="23"/>
        <v>21563.94811794936</v>
      </c>
      <c r="D390" s="284">
        <f t="shared" si="24"/>
        <v>18999.908914918342</v>
      </c>
      <c r="E390" s="284">
        <f t="shared" si="25"/>
        <v>4121278.1297313585</v>
      </c>
      <c r="F390" s="283"/>
      <c r="G390" s="278"/>
      <c r="H390" s="272"/>
      <c r="I390" s="278"/>
    </row>
    <row r="391" spans="1:9">
      <c r="A391" s="336">
        <v>336</v>
      </c>
      <c r="B391" s="284">
        <f t="shared" si="22"/>
        <v>40563.857032867701</v>
      </c>
      <c r="C391" s="284">
        <f t="shared" si="23"/>
        <v>21464.990259017493</v>
      </c>
      <c r="D391" s="284">
        <f t="shared" si="24"/>
        <v>19098.866773850208</v>
      </c>
      <c r="E391" s="284">
        <f t="shared" si="25"/>
        <v>4102179.2629575082</v>
      </c>
      <c r="F391" s="283">
        <v>28</v>
      </c>
      <c r="G391" s="335"/>
      <c r="H391" s="291"/>
      <c r="I391" s="335"/>
    </row>
    <row r="392" spans="1:9">
      <c r="A392" s="336">
        <v>337</v>
      </c>
      <c r="B392" s="284">
        <f t="shared" si="22"/>
        <v>40563.857032867701</v>
      </c>
      <c r="C392" s="284">
        <f t="shared" si="23"/>
        <v>21365.516994570356</v>
      </c>
      <c r="D392" s="284">
        <f t="shared" si="24"/>
        <v>19198.340038297345</v>
      </c>
      <c r="E392" s="284">
        <f t="shared" si="25"/>
        <v>4082980.922919211</v>
      </c>
      <c r="F392" s="283"/>
      <c r="G392" s="278"/>
      <c r="H392" s="272"/>
      <c r="I392" s="335"/>
    </row>
    <row r="393" spans="1:9">
      <c r="A393" s="336">
        <v>338</v>
      </c>
      <c r="B393" s="284">
        <f t="shared" si="22"/>
        <v>40563.857032867701</v>
      </c>
      <c r="C393" s="284">
        <f t="shared" si="23"/>
        <v>21265.525640204225</v>
      </c>
      <c r="D393" s="284">
        <f t="shared" si="24"/>
        <v>19298.331392663476</v>
      </c>
      <c r="E393" s="284">
        <f t="shared" si="25"/>
        <v>4063682.5915265474</v>
      </c>
      <c r="F393" s="283"/>
      <c r="G393" s="278"/>
      <c r="H393" s="272"/>
      <c r="I393" s="278"/>
    </row>
    <row r="394" spans="1:9">
      <c r="A394" s="336">
        <v>339</v>
      </c>
      <c r="B394" s="284">
        <f t="shared" si="22"/>
        <v>40563.857032867701</v>
      </c>
      <c r="C394" s="284">
        <f t="shared" si="23"/>
        <v>21165.013497534102</v>
      </c>
      <c r="D394" s="284">
        <f t="shared" si="24"/>
        <v>19398.843535333599</v>
      </c>
      <c r="E394" s="284">
        <f t="shared" si="25"/>
        <v>4044283.747991214</v>
      </c>
      <c r="F394" s="283"/>
      <c r="G394" s="278"/>
      <c r="H394" s="272"/>
      <c r="I394" s="278"/>
    </row>
    <row r="395" spans="1:9">
      <c r="A395" s="336">
        <v>340</v>
      </c>
      <c r="B395" s="284">
        <f t="shared" si="22"/>
        <v>40563.857032867701</v>
      </c>
      <c r="C395" s="284">
        <f t="shared" si="23"/>
        <v>21063.977854120905</v>
      </c>
      <c r="D395" s="284">
        <f t="shared" si="24"/>
        <v>19499.879178746796</v>
      </c>
      <c r="E395" s="284">
        <f t="shared" si="25"/>
        <v>4024783.8688124674</v>
      </c>
      <c r="F395" s="283"/>
      <c r="G395" s="278"/>
      <c r="H395" s="272"/>
      <c r="I395" s="278"/>
    </row>
    <row r="396" spans="1:9">
      <c r="A396" s="336">
        <v>341</v>
      </c>
      <c r="B396" s="284">
        <f t="shared" si="22"/>
        <v>40563.857032867701</v>
      </c>
      <c r="C396" s="284">
        <f t="shared" si="23"/>
        <v>20962.415983398267</v>
      </c>
      <c r="D396" s="284">
        <f t="shared" si="24"/>
        <v>19601.441049469435</v>
      </c>
      <c r="E396" s="284">
        <f t="shared" si="25"/>
        <v>4005182.4277629978</v>
      </c>
      <c r="F396" s="283"/>
      <c r="G396" s="278"/>
      <c r="H396" s="272"/>
      <c r="I396" s="278"/>
    </row>
    <row r="397" spans="1:9">
      <c r="A397" s="336">
        <v>342</v>
      </c>
      <c r="B397" s="284">
        <f t="shared" si="22"/>
        <v>40563.857032867701</v>
      </c>
      <c r="C397" s="284">
        <f t="shared" si="23"/>
        <v>20860.325144598948</v>
      </c>
      <c r="D397" s="284">
        <f t="shared" si="24"/>
        <v>19703.531888268753</v>
      </c>
      <c r="E397" s="284">
        <f t="shared" si="25"/>
        <v>3985478.8958747289</v>
      </c>
      <c r="F397" s="283"/>
      <c r="G397" s="335"/>
      <c r="H397" s="291"/>
      <c r="I397" s="278"/>
    </row>
    <row r="398" spans="1:9">
      <c r="A398" s="336">
        <v>343</v>
      </c>
      <c r="B398" s="284">
        <f t="shared" si="22"/>
        <v>40563.857032867701</v>
      </c>
      <c r="C398" s="284">
        <f t="shared" si="23"/>
        <v>20757.702582680879</v>
      </c>
      <c r="D398" s="284">
        <f t="shared" si="24"/>
        <v>19806.154450186823</v>
      </c>
      <c r="E398" s="284">
        <f t="shared" si="25"/>
        <v>3965672.7414245419</v>
      </c>
      <c r="F398" s="283"/>
      <c r="G398" s="278"/>
      <c r="H398" s="272"/>
      <c r="I398" s="278"/>
    </row>
    <row r="399" spans="1:9">
      <c r="A399" s="336">
        <v>344</v>
      </c>
      <c r="B399" s="284">
        <f t="shared" si="22"/>
        <v>40563.857032867701</v>
      </c>
      <c r="C399" s="284">
        <f t="shared" si="23"/>
        <v>20654.545528252824</v>
      </c>
      <c r="D399" s="284">
        <f t="shared" si="24"/>
        <v>19909.311504614878</v>
      </c>
      <c r="E399" s="284">
        <f t="shared" si="25"/>
        <v>3945763.4299199269</v>
      </c>
      <c r="F399" s="283"/>
      <c r="G399" s="278"/>
      <c r="H399" s="272"/>
      <c r="I399" s="278"/>
    </row>
    <row r="400" spans="1:9">
      <c r="A400" s="336">
        <v>345</v>
      </c>
      <c r="B400" s="284">
        <f t="shared" si="22"/>
        <v>40563.857032867701</v>
      </c>
      <c r="C400" s="284">
        <f t="shared" si="23"/>
        <v>20550.851197499618</v>
      </c>
      <c r="D400" s="284">
        <f t="shared" si="24"/>
        <v>20013.005835368083</v>
      </c>
      <c r="E400" s="284">
        <f t="shared" si="25"/>
        <v>3925750.4240845586</v>
      </c>
      <c r="F400" s="283"/>
      <c r="G400" s="278"/>
      <c r="H400" s="272"/>
      <c r="I400" s="278"/>
    </row>
    <row r="401" spans="1:9">
      <c r="A401" s="336">
        <v>346</v>
      </c>
      <c r="B401" s="284">
        <f t="shared" si="22"/>
        <v>40563.857032867701</v>
      </c>
      <c r="C401" s="284">
        <f t="shared" si="23"/>
        <v>20446.616792107077</v>
      </c>
      <c r="D401" s="284">
        <f t="shared" si="24"/>
        <v>20117.240240760624</v>
      </c>
      <c r="E401" s="284">
        <f t="shared" si="25"/>
        <v>3905633.183843798</v>
      </c>
      <c r="F401" s="283"/>
      <c r="G401" s="278"/>
      <c r="H401" s="272"/>
      <c r="I401" s="278"/>
    </row>
    <row r="402" spans="1:9">
      <c r="A402" s="336">
        <v>347</v>
      </c>
      <c r="B402" s="284">
        <f t="shared" si="22"/>
        <v>40563.857032867701</v>
      </c>
      <c r="C402" s="284">
        <f t="shared" si="23"/>
        <v>20341.839499186448</v>
      </c>
      <c r="D402" s="284">
        <f t="shared" si="24"/>
        <v>20222.017533681254</v>
      </c>
      <c r="E402" s="284">
        <f t="shared" si="25"/>
        <v>3885411.1663101166</v>
      </c>
      <c r="F402" s="283"/>
      <c r="G402" s="278"/>
      <c r="H402" s="272"/>
      <c r="I402" s="278"/>
    </row>
    <row r="403" spans="1:9">
      <c r="A403" s="336">
        <v>348</v>
      </c>
      <c r="B403" s="284">
        <f t="shared" si="22"/>
        <v>40563.857032867701</v>
      </c>
      <c r="C403" s="284">
        <f t="shared" si="23"/>
        <v>20236.516491198523</v>
      </c>
      <c r="D403" s="284">
        <f t="shared" si="24"/>
        <v>20327.340541669178</v>
      </c>
      <c r="E403" s="284">
        <f t="shared" si="25"/>
        <v>3865083.8257684475</v>
      </c>
      <c r="F403" s="283">
        <v>29</v>
      </c>
      <c r="G403" s="335"/>
      <c r="H403" s="291"/>
      <c r="I403" s="335"/>
    </row>
    <row r="404" spans="1:9">
      <c r="A404" s="336">
        <v>349</v>
      </c>
      <c r="B404" s="284">
        <f t="shared" si="22"/>
        <v>40563.857032867701</v>
      </c>
      <c r="C404" s="284">
        <f t="shared" si="23"/>
        <v>20130.644925877332</v>
      </c>
      <c r="D404" s="284">
        <f t="shared" si="24"/>
        <v>20433.21210699037</v>
      </c>
      <c r="E404" s="284">
        <f t="shared" si="25"/>
        <v>3844650.6136614573</v>
      </c>
      <c r="F404" s="283"/>
      <c r="G404" s="278"/>
      <c r="H404" s="272"/>
      <c r="I404" s="335"/>
    </row>
    <row r="405" spans="1:9">
      <c r="A405" s="336">
        <v>350</v>
      </c>
      <c r="B405" s="284">
        <f t="shared" si="22"/>
        <v>40563.857032867701</v>
      </c>
      <c r="C405" s="284">
        <f t="shared" si="23"/>
        <v>20024.221946153422</v>
      </c>
      <c r="D405" s="284">
        <f t="shared" si="24"/>
        <v>20539.635086714279</v>
      </c>
      <c r="E405" s="284">
        <f t="shared" si="25"/>
        <v>3824110.978574743</v>
      </c>
      <c r="F405" s="283"/>
      <c r="G405" s="278"/>
      <c r="H405" s="272"/>
      <c r="I405" s="278"/>
    </row>
    <row r="406" spans="1:9">
      <c r="A406" s="336">
        <v>351</v>
      </c>
      <c r="B406" s="284">
        <f t="shared" si="22"/>
        <v>40563.857032867701</v>
      </c>
      <c r="C406" s="284">
        <f t="shared" si="23"/>
        <v>19917.244680076787</v>
      </c>
      <c r="D406" s="284">
        <f t="shared" si="24"/>
        <v>20646.612352790915</v>
      </c>
      <c r="E406" s="284">
        <f t="shared" si="25"/>
        <v>3803464.3662219523</v>
      </c>
      <c r="F406" s="283"/>
      <c r="G406" s="278"/>
      <c r="H406" s="272"/>
      <c r="I406" s="278"/>
    </row>
    <row r="407" spans="1:9">
      <c r="A407" s="336">
        <v>352</v>
      </c>
      <c r="B407" s="284">
        <f t="shared" si="22"/>
        <v>40563.857032867701</v>
      </c>
      <c r="C407" s="284">
        <f t="shared" si="23"/>
        <v>19809.710240739336</v>
      </c>
      <c r="D407" s="284">
        <f t="shared" si="24"/>
        <v>20754.146792128366</v>
      </c>
      <c r="E407" s="284">
        <f t="shared" si="25"/>
        <v>3782710.219429824</v>
      </c>
      <c r="F407" s="283"/>
      <c r="G407" s="278"/>
      <c r="H407" s="272"/>
      <c r="I407" s="278"/>
    </row>
    <row r="408" spans="1:9">
      <c r="A408" s="336">
        <v>353</v>
      </c>
      <c r="B408" s="284">
        <f t="shared" si="22"/>
        <v>40563.857032867701</v>
      </c>
      <c r="C408" s="284">
        <f t="shared" si="23"/>
        <v>19701.615726197</v>
      </c>
      <c r="D408" s="284">
        <f t="shared" si="24"/>
        <v>20862.241306670701</v>
      </c>
      <c r="E408" s="284">
        <f t="shared" si="25"/>
        <v>3761847.9781231536</v>
      </c>
      <c r="F408" s="283"/>
      <c r="G408" s="278"/>
      <c r="H408" s="272"/>
      <c r="I408" s="278"/>
    </row>
    <row r="409" spans="1:9">
      <c r="A409" s="336">
        <v>354</v>
      </c>
      <c r="B409" s="284">
        <f t="shared" si="22"/>
        <v>40563.857032867701</v>
      </c>
      <c r="C409" s="284">
        <f t="shared" si="23"/>
        <v>19592.958219391425</v>
      </c>
      <c r="D409" s="284">
        <f t="shared" si="24"/>
        <v>20970.898813476277</v>
      </c>
      <c r="E409" s="284">
        <f t="shared" si="25"/>
        <v>3740877.0793096772</v>
      </c>
      <c r="F409" s="283"/>
      <c r="G409" s="335"/>
      <c r="H409" s="291"/>
      <c r="I409" s="278"/>
    </row>
    <row r="410" spans="1:9">
      <c r="A410" s="336">
        <v>355</v>
      </c>
      <c r="B410" s="284">
        <f t="shared" si="22"/>
        <v>40563.857032867701</v>
      </c>
      <c r="C410" s="284">
        <f t="shared" si="23"/>
        <v>19483.734788071237</v>
      </c>
      <c r="D410" s="284">
        <f t="shared" si="24"/>
        <v>21080.122244796465</v>
      </c>
      <c r="E410" s="284">
        <f t="shared" si="25"/>
        <v>3719796.957064881</v>
      </c>
      <c r="F410" s="283"/>
      <c r="G410" s="278"/>
      <c r="H410" s="272"/>
      <c r="I410" s="278"/>
    </row>
    <row r="411" spans="1:9">
      <c r="A411" s="336">
        <v>356</v>
      </c>
      <c r="B411" s="284">
        <f t="shared" si="22"/>
        <v>40563.857032867701</v>
      </c>
      <c r="C411" s="284">
        <f t="shared" si="23"/>
        <v>19373.942484712923</v>
      </c>
      <c r="D411" s="284">
        <f t="shared" si="24"/>
        <v>21189.914548154778</v>
      </c>
      <c r="E411" s="284">
        <f t="shared" si="25"/>
        <v>3698607.0425167261</v>
      </c>
      <c r="F411" s="283"/>
      <c r="G411" s="278"/>
      <c r="H411" s="272"/>
      <c r="I411" s="278"/>
    </row>
    <row r="412" spans="1:9">
      <c r="A412" s="336">
        <v>357</v>
      </c>
      <c r="B412" s="284">
        <f t="shared" si="22"/>
        <v>40563.857032867701</v>
      </c>
      <c r="C412" s="284">
        <f t="shared" si="23"/>
        <v>19263.578346441282</v>
      </c>
      <c r="D412" s="284">
        <f t="shared" si="24"/>
        <v>21300.27868642642</v>
      </c>
      <c r="E412" s="284">
        <f t="shared" si="25"/>
        <v>3677306.7638302995</v>
      </c>
      <c r="F412" s="283"/>
      <c r="G412" s="278"/>
      <c r="H412" s="272"/>
      <c r="I412" s="278"/>
    </row>
    <row r="413" spans="1:9">
      <c r="A413" s="336">
        <v>358</v>
      </c>
      <c r="B413" s="284">
        <f t="shared" si="22"/>
        <v>40563.857032867701</v>
      </c>
      <c r="C413" s="284">
        <f t="shared" si="23"/>
        <v>19152.639394949478</v>
      </c>
      <c r="D413" s="284">
        <f t="shared" si="24"/>
        <v>21411.217637918224</v>
      </c>
      <c r="E413" s="284">
        <f t="shared" si="25"/>
        <v>3655895.5461923811</v>
      </c>
      <c r="F413" s="283"/>
      <c r="G413" s="278"/>
      <c r="H413" s="272"/>
      <c r="I413" s="278"/>
    </row>
    <row r="414" spans="1:9">
      <c r="A414" s="336">
        <v>359</v>
      </c>
      <c r="B414" s="284">
        <f t="shared" si="22"/>
        <v>40563.857032867701</v>
      </c>
      <c r="C414" s="284">
        <f t="shared" si="23"/>
        <v>19041.122636418651</v>
      </c>
      <c r="D414" s="284">
        <f t="shared" si="24"/>
        <v>21522.73439644905</v>
      </c>
      <c r="E414" s="284">
        <f t="shared" si="25"/>
        <v>3634372.8117959322</v>
      </c>
      <c r="F414" s="283"/>
      <c r="G414" s="278"/>
      <c r="H414" s="272"/>
      <c r="I414" s="278"/>
    </row>
    <row r="415" spans="1:9">
      <c r="A415" s="336">
        <v>360</v>
      </c>
      <c r="B415" s="284">
        <f t="shared" si="22"/>
        <v>40563.857032867701</v>
      </c>
      <c r="C415" s="284">
        <f t="shared" si="23"/>
        <v>18929.025061437147</v>
      </c>
      <c r="D415" s="284">
        <f t="shared" si="24"/>
        <v>21634.831971430554</v>
      </c>
      <c r="E415" s="284">
        <f t="shared" si="25"/>
        <v>3612737.9798245016</v>
      </c>
      <c r="F415" s="283">
        <v>30</v>
      </c>
      <c r="G415" s="335"/>
      <c r="H415" s="291"/>
      <c r="I415" s="335"/>
    </row>
    <row r="416" spans="1:9">
      <c r="A416" s="336">
        <v>361</v>
      </c>
      <c r="B416" s="284">
        <f t="shared" si="22"/>
        <v>40563.857032867701</v>
      </c>
      <c r="C416" s="284">
        <f t="shared" si="23"/>
        <v>18816.343644919278</v>
      </c>
      <c r="D416" s="284">
        <f t="shared" si="24"/>
        <v>21747.513387948424</v>
      </c>
      <c r="E416" s="284">
        <f t="shared" si="25"/>
        <v>3590990.4664365533</v>
      </c>
      <c r="F416" s="283"/>
      <c r="G416" s="278"/>
      <c r="H416" s="272"/>
      <c r="I416" s="335"/>
    </row>
    <row r="417" spans="1:9">
      <c r="A417" s="336">
        <v>362</v>
      </c>
      <c r="B417" s="284">
        <f t="shared" si="22"/>
        <v>40563.857032867701</v>
      </c>
      <c r="C417" s="284">
        <f t="shared" si="23"/>
        <v>18703.075346023714</v>
      </c>
      <c r="D417" s="284">
        <f t="shared" si="24"/>
        <v>21860.781686843988</v>
      </c>
      <c r="E417" s="284">
        <f t="shared" si="25"/>
        <v>3569129.6847497094</v>
      </c>
      <c r="F417" s="283"/>
      <c r="G417" s="278"/>
      <c r="H417" s="272"/>
      <c r="I417" s="278"/>
    </row>
    <row r="418" spans="1:9">
      <c r="A418" s="336">
        <v>363</v>
      </c>
      <c r="B418" s="284">
        <f t="shared" si="22"/>
        <v>40563.857032867701</v>
      </c>
      <c r="C418" s="284">
        <f t="shared" si="23"/>
        <v>18589.217108071403</v>
      </c>
      <c r="D418" s="284">
        <f t="shared" si="24"/>
        <v>21974.639924796298</v>
      </c>
      <c r="E418" s="284">
        <f t="shared" si="25"/>
        <v>3547155.0448249131</v>
      </c>
      <c r="F418" s="283"/>
      <c r="G418" s="278"/>
      <c r="H418" s="272"/>
      <c r="I418" s="278"/>
    </row>
    <row r="419" spans="1:9">
      <c r="A419" s="336">
        <v>364</v>
      </c>
      <c r="B419" s="284">
        <f t="shared" si="22"/>
        <v>40563.857032867701</v>
      </c>
      <c r="C419" s="284">
        <f t="shared" si="23"/>
        <v>18474.765858463088</v>
      </c>
      <c r="D419" s="284">
        <f t="shared" si="24"/>
        <v>22089.091174404613</v>
      </c>
      <c r="E419" s="284">
        <f t="shared" si="25"/>
        <v>3525065.9536505085</v>
      </c>
      <c r="F419" s="283"/>
      <c r="G419" s="278"/>
      <c r="H419" s="272"/>
      <c r="I419" s="278"/>
    </row>
    <row r="420" spans="1:9">
      <c r="A420" s="336">
        <v>365</v>
      </c>
      <c r="B420" s="284">
        <f t="shared" si="22"/>
        <v>40563.857032867701</v>
      </c>
      <c r="C420" s="284">
        <f t="shared" si="23"/>
        <v>18359.718508596397</v>
      </c>
      <c r="D420" s="284">
        <f t="shared" si="24"/>
        <v>22204.138524271304</v>
      </c>
      <c r="E420" s="284">
        <f t="shared" si="25"/>
        <v>3502861.8151262375</v>
      </c>
      <c r="F420" s="283"/>
      <c r="G420" s="278"/>
      <c r="H420" s="272"/>
      <c r="I420" s="278"/>
    </row>
    <row r="421" spans="1:9">
      <c r="A421" s="336">
        <v>366</v>
      </c>
      <c r="B421" s="284">
        <f t="shared" si="22"/>
        <v>40563.857032867701</v>
      </c>
      <c r="C421" s="284">
        <f t="shared" si="23"/>
        <v>18244.071953782488</v>
      </c>
      <c r="D421" s="284">
        <f t="shared" si="24"/>
        <v>22319.785079085214</v>
      </c>
      <c r="E421" s="284">
        <f t="shared" si="25"/>
        <v>3480542.0300471522</v>
      </c>
      <c r="F421" s="283"/>
      <c r="G421" s="335"/>
      <c r="H421" s="291"/>
      <c r="I421" s="278"/>
    </row>
    <row r="422" spans="1:9">
      <c r="A422" s="336">
        <v>367</v>
      </c>
      <c r="B422" s="284">
        <f t="shared" si="22"/>
        <v>40563.857032867701</v>
      </c>
      <c r="C422" s="284">
        <f t="shared" si="23"/>
        <v>18127.82307316225</v>
      </c>
      <c r="D422" s="284">
        <f t="shared" si="24"/>
        <v>22436.033959705452</v>
      </c>
      <c r="E422" s="284">
        <f t="shared" si="25"/>
        <v>3458105.9960874468</v>
      </c>
      <c r="F422" s="283"/>
      <c r="G422" s="278"/>
      <c r="H422" s="272"/>
      <c r="I422" s="278"/>
    </row>
    <row r="423" spans="1:9">
      <c r="A423" s="336">
        <v>368</v>
      </c>
      <c r="B423" s="284">
        <f t="shared" si="22"/>
        <v>40563.857032867701</v>
      </c>
      <c r="C423" s="284">
        <f t="shared" si="23"/>
        <v>18010.96872962212</v>
      </c>
      <c r="D423" s="284">
        <f t="shared" si="24"/>
        <v>22552.888303245581</v>
      </c>
      <c r="E423" s="284">
        <f t="shared" si="25"/>
        <v>3435553.1077842014</v>
      </c>
      <c r="F423" s="283"/>
      <c r="G423" s="278"/>
      <c r="H423" s="272"/>
      <c r="I423" s="278"/>
    </row>
    <row r="424" spans="1:9">
      <c r="A424" s="336">
        <v>369</v>
      </c>
      <c r="B424" s="284">
        <f t="shared" si="22"/>
        <v>40563.857032867701</v>
      </c>
      <c r="C424" s="284">
        <f t="shared" si="23"/>
        <v>17893.505769709383</v>
      </c>
      <c r="D424" s="284">
        <f t="shared" si="24"/>
        <v>22670.351263158318</v>
      </c>
      <c r="E424" s="284">
        <f t="shared" si="25"/>
        <v>3412882.7565210429</v>
      </c>
      <c r="F424" s="283"/>
      <c r="G424" s="278"/>
      <c r="H424" s="272"/>
      <c r="I424" s="278"/>
    </row>
    <row r="425" spans="1:9">
      <c r="A425" s="336">
        <v>370</v>
      </c>
      <c r="B425" s="284">
        <f t="shared" si="22"/>
        <v>40563.857032867701</v>
      </c>
      <c r="C425" s="284">
        <f t="shared" si="23"/>
        <v>17775.431023547098</v>
      </c>
      <c r="D425" s="284">
        <f t="shared" si="24"/>
        <v>22788.426009320603</v>
      </c>
      <c r="E425" s="284">
        <f t="shared" si="25"/>
        <v>3390094.3305117222</v>
      </c>
      <c r="F425" s="283"/>
      <c r="G425" s="278"/>
      <c r="H425" s="272"/>
      <c r="I425" s="278"/>
    </row>
    <row r="426" spans="1:9">
      <c r="A426" s="336">
        <v>371</v>
      </c>
      <c r="B426" s="284">
        <f t="shared" si="22"/>
        <v>40563.857032867701</v>
      </c>
      <c r="C426" s="284">
        <f t="shared" si="23"/>
        <v>17656.741304748553</v>
      </c>
      <c r="D426" s="284">
        <f t="shared" si="24"/>
        <v>22907.115728119148</v>
      </c>
      <c r="E426" s="284">
        <f t="shared" si="25"/>
        <v>3367187.2147836033</v>
      </c>
      <c r="F426" s="283"/>
      <c r="G426" s="278"/>
      <c r="H426" s="272"/>
      <c r="I426" s="278"/>
    </row>
    <row r="427" spans="1:9">
      <c r="A427" s="336">
        <v>372</v>
      </c>
      <c r="B427" s="284">
        <f t="shared" si="22"/>
        <v>40563.857032867701</v>
      </c>
      <c r="C427" s="284">
        <f t="shared" si="23"/>
        <v>17537.433410331269</v>
      </c>
      <c r="D427" s="284">
        <f t="shared" si="24"/>
        <v>23026.423622536433</v>
      </c>
      <c r="E427" s="284">
        <f t="shared" si="25"/>
        <v>3344160.7911610669</v>
      </c>
      <c r="F427" s="283">
        <v>31</v>
      </c>
      <c r="G427" s="335"/>
      <c r="H427" s="291"/>
      <c r="I427" s="335"/>
    </row>
    <row r="428" spans="1:9">
      <c r="A428" s="336">
        <v>373</v>
      </c>
      <c r="B428" s="284">
        <f t="shared" si="22"/>
        <v>40563.857032867701</v>
      </c>
      <c r="C428" s="284">
        <f t="shared" si="23"/>
        <v>17417.504120630558</v>
      </c>
      <c r="D428" s="284">
        <f t="shared" si="24"/>
        <v>23146.352912237144</v>
      </c>
      <c r="E428" s="284">
        <f t="shared" si="25"/>
        <v>3321014.4382488299</v>
      </c>
      <c r="F428" s="283"/>
      <c r="G428" s="278"/>
      <c r="H428" s="272"/>
      <c r="I428" s="335"/>
    </row>
    <row r="429" spans="1:9">
      <c r="A429" s="336">
        <v>374</v>
      </c>
      <c r="B429" s="284">
        <f t="shared" si="22"/>
        <v>40563.857032867701</v>
      </c>
      <c r="C429" s="284">
        <f t="shared" si="23"/>
        <v>17296.950199212657</v>
      </c>
      <c r="D429" s="284">
        <f t="shared" si="24"/>
        <v>23266.906833655044</v>
      </c>
      <c r="E429" s="284">
        <f t="shared" si="25"/>
        <v>3297747.5314151747</v>
      </c>
      <c r="F429" s="283"/>
      <c r="G429" s="278"/>
      <c r="H429" s="272"/>
      <c r="I429" s="278"/>
    </row>
    <row r="430" spans="1:9">
      <c r="A430" s="336">
        <v>375</v>
      </c>
      <c r="B430" s="284">
        <f t="shared" si="22"/>
        <v>40563.857032867701</v>
      </c>
      <c r="C430" s="284">
        <f t="shared" si="23"/>
        <v>17175.76839278737</v>
      </c>
      <c r="D430" s="284">
        <f t="shared" si="24"/>
        <v>23388.088640080332</v>
      </c>
      <c r="E430" s="284">
        <f t="shared" si="25"/>
        <v>3274359.4427750944</v>
      </c>
      <c r="F430" s="283"/>
      <c r="G430" s="278"/>
      <c r="H430" s="272"/>
      <c r="I430" s="278"/>
    </row>
    <row r="431" spans="1:9">
      <c r="A431" s="336">
        <v>376</v>
      </c>
      <c r="B431" s="284">
        <f t="shared" si="22"/>
        <v>40563.857032867701</v>
      </c>
      <c r="C431" s="284">
        <f t="shared" si="23"/>
        <v>17053.955431120285</v>
      </c>
      <c r="D431" s="284">
        <f t="shared" si="24"/>
        <v>23509.901601747417</v>
      </c>
      <c r="E431" s="284">
        <f t="shared" si="25"/>
        <v>3250849.5411733468</v>
      </c>
      <c r="F431" s="283"/>
      <c r="G431" s="278"/>
      <c r="H431" s="272"/>
      <c r="I431" s="278"/>
    </row>
    <row r="432" spans="1:9">
      <c r="A432" s="336">
        <v>377</v>
      </c>
      <c r="B432" s="284">
        <f t="shared" si="22"/>
        <v>40563.857032867701</v>
      </c>
      <c r="C432" s="284">
        <f t="shared" si="23"/>
        <v>16931.508026944513</v>
      </c>
      <c r="D432" s="284">
        <f t="shared" si="24"/>
        <v>23632.349005923188</v>
      </c>
      <c r="E432" s="284">
        <f t="shared" si="25"/>
        <v>3227217.1921674237</v>
      </c>
      <c r="F432" s="283"/>
      <c r="G432" s="278"/>
      <c r="H432" s="272"/>
      <c r="I432" s="278"/>
    </row>
    <row r="433" spans="1:9">
      <c r="A433" s="336">
        <v>378</v>
      </c>
      <c r="B433" s="284">
        <f t="shared" si="22"/>
        <v>40563.857032867701</v>
      </c>
      <c r="C433" s="284">
        <f t="shared" si="23"/>
        <v>16808.422875871998</v>
      </c>
      <c r="D433" s="284">
        <f t="shared" si="24"/>
        <v>23755.434156995703</v>
      </c>
      <c r="E433" s="284">
        <f t="shared" si="25"/>
        <v>3203461.7580104279</v>
      </c>
      <c r="F433" s="283"/>
      <c r="G433" s="335"/>
      <c r="H433" s="291"/>
      <c r="I433" s="278"/>
    </row>
    <row r="434" spans="1:9">
      <c r="A434" s="336">
        <v>379</v>
      </c>
      <c r="B434" s="284">
        <f t="shared" si="22"/>
        <v>40563.857032867701</v>
      </c>
      <c r="C434" s="284">
        <f t="shared" si="23"/>
        <v>16684.696656304313</v>
      </c>
      <c r="D434" s="284">
        <f t="shared" si="24"/>
        <v>23879.160376563388</v>
      </c>
      <c r="E434" s="284">
        <f t="shared" si="25"/>
        <v>3179582.5976338647</v>
      </c>
      <c r="F434" s="283"/>
      <c r="G434" s="278"/>
      <c r="H434" s="272"/>
      <c r="I434" s="278"/>
    </row>
    <row r="435" spans="1:9">
      <c r="A435" s="336">
        <v>380</v>
      </c>
      <c r="B435" s="284">
        <f t="shared" si="22"/>
        <v>40563.857032867701</v>
      </c>
      <c r="C435" s="284">
        <f t="shared" si="23"/>
        <v>16560.326029343047</v>
      </c>
      <c r="D435" s="284">
        <f t="shared" si="24"/>
        <v>24003.531003524655</v>
      </c>
      <c r="E435" s="284">
        <f t="shared" si="25"/>
        <v>3155579.0666303402</v>
      </c>
      <c r="F435" s="283"/>
      <c r="G435" s="278"/>
      <c r="H435" s="272"/>
      <c r="I435" s="278"/>
    </row>
    <row r="436" spans="1:9">
      <c r="A436" s="336">
        <v>381</v>
      </c>
      <c r="B436" s="284">
        <f t="shared" si="22"/>
        <v>40563.857032867701</v>
      </c>
      <c r="C436" s="284">
        <f t="shared" si="23"/>
        <v>16435.307638699687</v>
      </c>
      <c r="D436" s="284">
        <f t="shared" si="24"/>
        <v>24128.549394168014</v>
      </c>
      <c r="E436" s="284">
        <f t="shared" si="25"/>
        <v>3131450.5172361722</v>
      </c>
      <c r="F436" s="283"/>
      <c r="G436" s="278"/>
      <c r="H436" s="272"/>
      <c r="I436" s="278"/>
    </row>
    <row r="437" spans="1:9">
      <c r="A437" s="336">
        <v>382</v>
      </c>
      <c r="B437" s="284">
        <f t="shared" si="22"/>
        <v>40563.857032867701</v>
      </c>
      <c r="C437" s="284">
        <f t="shared" si="23"/>
        <v>16309.638110605063</v>
      </c>
      <c r="D437" s="284">
        <f t="shared" si="24"/>
        <v>24254.21892226264</v>
      </c>
      <c r="E437" s="284">
        <f t="shared" si="25"/>
        <v>3107196.2983139097</v>
      </c>
      <c r="F437" s="283"/>
      <c r="G437" s="278"/>
      <c r="H437" s="272"/>
      <c r="I437" s="278"/>
    </row>
    <row r="438" spans="1:9">
      <c r="A438" s="336">
        <v>383</v>
      </c>
      <c r="B438" s="284">
        <f t="shared" si="22"/>
        <v>40563.857032867701</v>
      </c>
      <c r="C438" s="284">
        <f t="shared" si="23"/>
        <v>16183.314053718279</v>
      </c>
      <c r="D438" s="284">
        <f t="shared" si="24"/>
        <v>24380.542979149424</v>
      </c>
      <c r="E438" s="284">
        <f t="shared" si="25"/>
        <v>3082815.7553347601</v>
      </c>
      <c r="F438" s="283"/>
      <c r="G438" s="278"/>
      <c r="H438" s="272"/>
      <c r="I438" s="278"/>
    </row>
    <row r="439" spans="1:9">
      <c r="A439" s="336">
        <v>384</v>
      </c>
      <c r="B439" s="284">
        <f t="shared" si="22"/>
        <v>40563.857032867701</v>
      </c>
      <c r="C439" s="284">
        <f t="shared" si="23"/>
        <v>16056.332059035209</v>
      </c>
      <c r="D439" s="284">
        <f t="shared" si="24"/>
        <v>24507.524973832493</v>
      </c>
      <c r="E439" s="284">
        <f t="shared" si="25"/>
        <v>3058308.2303609275</v>
      </c>
      <c r="F439" s="283">
        <v>32</v>
      </c>
      <c r="G439" s="335"/>
      <c r="H439" s="291"/>
      <c r="I439" s="335"/>
    </row>
    <row r="440" spans="1:9">
      <c r="A440" s="336">
        <v>385</v>
      </c>
      <c r="B440" s="284">
        <f t="shared" ref="B440:B503" si="26">IF(A440&gt;12*$D$14,0,$D$20)</f>
        <v>40563.857032867701</v>
      </c>
      <c r="C440" s="284">
        <f t="shared" ref="C440:C503" si="27">IF(A440&gt;12*$D$14,0,E439*$D$10/12)</f>
        <v>15928.688699796498</v>
      </c>
      <c r="D440" s="284">
        <f t="shared" ref="D440:D503" si="28">IF(A440&gt;12*$D$14,0,B440-C440)</f>
        <v>24635.168333071204</v>
      </c>
      <c r="E440" s="284">
        <f t="shared" ref="E440:E503" si="29">IF(A440&gt;12*$D$14,0,E439-D440)</f>
        <v>3033673.0620278562</v>
      </c>
      <c r="F440" s="283"/>
      <c r="G440" s="278"/>
      <c r="H440" s="272"/>
      <c r="I440" s="335"/>
    </row>
    <row r="441" spans="1:9">
      <c r="A441" s="336">
        <v>386</v>
      </c>
      <c r="B441" s="284">
        <f t="shared" si="26"/>
        <v>40563.857032867701</v>
      </c>
      <c r="C441" s="284">
        <f t="shared" si="27"/>
        <v>15800.380531395085</v>
      </c>
      <c r="D441" s="284">
        <f t="shared" si="28"/>
        <v>24763.476501472614</v>
      </c>
      <c r="E441" s="284">
        <f t="shared" si="29"/>
        <v>3008909.5855263835</v>
      </c>
      <c r="F441" s="283"/>
      <c r="G441" s="278"/>
      <c r="H441" s="272"/>
      <c r="I441" s="278"/>
    </row>
    <row r="442" spans="1:9">
      <c r="A442" s="336">
        <v>387</v>
      </c>
      <c r="B442" s="284">
        <f t="shared" si="26"/>
        <v>40563.857032867701</v>
      </c>
      <c r="C442" s="284">
        <f t="shared" si="27"/>
        <v>15671.404091283248</v>
      </c>
      <c r="D442" s="284">
        <f t="shared" si="28"/>
        <v>24892.452941584452</v>
      </c>
      <c r="E442" s="284">
        <f t="shared" si="29"/>
        <v>2984017.1325847991</v>
      </c>
      <c r="F442" s="283"/>
      <c r="G442" s="278"/>
      <c r="H442" s="272"/>
      <c r="I442" s="278"/>
    </row>
    <row r="443" spans="1:9">
      <c r="A443" s="336">
        <v>388</v>
      </c>
      <c r="B443" s="284">
        <f t="shared" si="26"/>
        <v>40563.857032867701</v>
      </c>
      <c r="C443" s="284">
        <f t="shared" si="27"/>
        <v>15541.755898879162</v>
      </c>
      <c r="D443" s="284">
        <f t="shared" si="28"/>
        <v>25022.101133988537</v>
      </c>
      <c r="E443" s="284">
        <f t="shared" si="29"/>
        <v>2958995.0314508104</v>
      </c>
      <c r="F443" s="283"/>
      <c r="G443" s="278"/>
      <c r="H443" s="272"/>
      <c r="I443" s="278"/>
    </row>
    <row r="444" spans="1:9">
      <c r="A444" s="336">
        <v>389</v>
      </c>
      <c r="B444" s="284">
        <f t="shared" si="26"/>
        <v>40563.857032867701</v>
      </c>
      <c r="C444" s="284">
        <f t="shared" si="27"/>
        <v>15411.43245547297</v>
      </c>
      <c r="D444" s="284">
        <f t="shared" si="28"/>
        <v>25152.424577394733</v>
      </c>
      <c r="E444" s="284">
        <f t="shared" si="29"/>
        <v>2933842.6068734154</v>
      </c>
      <c r="F444" s="283"/>
      <c r="G444" s="278"/>
      <c r="H444" s="272"/>
      <c r="I444" s="278"/>
    </row>
    <row r="445" spans="1:9">
      <c r="A445" s="336">
        <v>390</v>
      </c>
      <c r="B445" s="284">
        <f t="shared" si="26"/>
        <v>40563.857032867701</v>
      </c>
      <c r="C445" s="284">
        <f t="shared" si="27"/>
        <v>15280.430244132373</v>
      </c>
      <c r="D445" s="284">
        <f t="shared" si="28"/>
        <v>25283.426788735327</v>
      </c>
      <c r="E445" s="284">
        <f t="shared" si="29"/>
        <v>2908559.1800846802</v>
      </c>
      <c r="F445" s="283"/>
      <c r="G445" s="335"/>
      <c r="H445" s="291"/>
      <c r="I445" s="278"/>
    </row>
    <row r="446" spans="1:9">
      <c r="A446" s="336">
        <v>391</v>
      </c>
      <c r="B446" s="284">
        <f t="shared" si="26"/>
        <v>40563.857032867701</v>
      </c>
      <c r="C446" s="284">
        <f t="shared" si="27"/>
        <v>15148.74572960771</v>
      </c>
      <c r="D446" s="284">
        <f t="shared" si="28"/>
        <v>25415.11130325999</v>
      </c>
      <c r="E446" s="284">
        <f t="shared" si="29"/>
        <v>2883144.0687814201</v>
      </c>
      <c r="F446" s="283"/>
      <c r="G446" s="278"/>
      <c r="H446" s="272"/>
      <c r="I446" s="278"/>
    </row>
    <row r="447" spans="1:9">
      <c r="A447" s="336">
        <v>392</v>
      </c>
      <c r="B447" s="284">
        <f t="shared" si="26"/>
        <v>40563.857032867701</v>
      </c>
      <c r="C447" s="284">
        <f t="shared" si="27"/>
        <v>15016.375358236563</v>
      </c>
      <c r="D447" s="284">
        <f t="shared" si="28"/>
        <v>25547.481674631141</v>
      </c>
      <c r="E447" s="284">
        <f t="shared" si="29"/>
        <v>2857596.587106789</v>
      </c>
      <c r="F447" s="283"/>
      <c r="G447" s="278"/>
      <c r="H447" s="272"/>
      <c r="I447" s="278"/>
    </row>
    <row r="448" spans="1:9">
      <c r="A448" s="336">
        <v>393</v>
      </c>
      <c r="B448" s="284">
        <f t="shared" si="26"/>
        <v>40563.857032867701</v>
      </c>
      <c r="C448" s="284">
        <f t="shared" si="27"/>
        <v>14883.31555784786</v>
      </c>
      <c r="D448" s="284">
        <f t="shared" si="28"/>
        <v>25680.54147501984</v>
      </c>
      <c r="E448" s="284">
        <f t="shared" si="29"/>
        <v>2831916.0456317691</v>
      </c>
      <c r="F448" s="283"/>
      <c r="G448" s="278"/>
      <c r="H448" s="272"/>
      <c r="I448" s="278"/>
    </row>
    <row r="449" spans="1:9">
      <c r="A449" s="336">
        <v>394</v>
      </c>
      <c r="B449" s="284">
        <f t="shared" si="26"/>
        <v>40563.857032867701</v>
      </c>
      <c r="C449" s="284">
        <f t="shared" si="27"/>
        <v>14749.562737665465</v>
      </c>
      <c r="D449" s="284">
        <f t="shared" si="28"/>
        <v>25814.294295202235</v>
      </c>
      <c r="E449" s="284">
        <f t="shared" si="29"/>
        <v>2806101.7513365671</v>
      </c>
      <c r="F449" s="283"/>
      <c r="G449" s="278"/>
      <c r="H449" s="272"/>
      <c r="I449" s="278"/>
    </row>
    <row r="450" spans="1:9">
      <c r="A450" s="336">
        <v>395</v>
      </c>
      <c r="B450" s="284">
        <f t="shared" si="26"/>
        <v>40563.857032867701</v>
      </c>
      <c r="C450" s="284">
        <f t="shared" si="27"/>
        <v>14615.113288211287</v>
      </c>
      <c r="D450" s="284">
        <f t="shared" si="28"/>
        <v>25948.743744656414</v>
      </c>
      <c r="E450" s="284">
        <f t="shared" si="29"/>
        <v>2780153.0075919107</v>
      </c>
      <c r="F450" s="283"/>
      <c r="G450" s="278"/>
      <c r="H450" s="272"/>
      <c r="I450" s="278"/>
    </row>
    <row r="451" spans="1:9">
      <c r="A451" s="336">
        <v>396</v>
      </c>
      <c r="B451" s="284">
        <f t="shared" si="26"/>
        <v>40563.857032867701</v>
      </c>
      <c r="C451" s="284">
        <f t="shared" si="27"/>
        <v>14479.963581207869</v>
      </c>
      <c r="D451" s="284">
        <f t="shared" si="28"/>
        <v>26083.893451659831</v>
      </c>
      <c r="E451" s="284">
        <f t="shared" si="29"/>
        <v>2754069.1141402507</v>
      </c>
      <c r="F451" s="283">
        <v>33</v>
      </c>
      <c r="G451" s="335"/>
      <c r="H451" s="291"/>
      <c r="I451" s="335"/>
    </row>
    <row r="452" spans="1:9">
      <c r="A452" s="336">
        <v>397</v>
      </c>
      <c r="B452" s="284">
        <f t="shared" si="26"/>
        <v>40563.857032867701</v>
      </c>
      <c r="C452" s="284">
        <f t="shared" si="27"/>
        <v>14344.109969480473</v>
      </c>
      <c r="D452" s="284">
        <f t="shared" si="28"/>
        <v>26219.747063387229</v>
      </c>
      <c r="E452" s="284">
        <f t="shared" si="29"/>
        <v>2727849.3670768635</v>
      </c>
      <c r="F452" s="283"/>
      <c r="G452" s="278"/>
      <c r="H452" s="272"/>
      <c r="I452" s="335"/>
    </row>
    <row r="453" spans="1:9">
      <c r="A453" s="336">
        <v>398</v>
      </c>
      <c r="B453" s="284">
        <f t="shared" si="26"/>
        <v>40563.857032867701</v>
      </c>
      <c r="C453" s="284">
        <f t="shared" si="27"/>
        <v>14207.548786858664</v>
      </c>
      <c r="D453" s="284">
        <f t="shared" si="28"/>
        <v>26356.308246009037</v>
      </c>
      <c r="E453" s="284">
        <f t="shared" si="29"/>
        <v>2701493.0588308545</v>
      </c>
      <c r="F453" s="283"/>
      <c r="G453" s="278"/>
      <c r="H453" s="272"/>
      <c r="I453" s="278"/>
    </row>
    <row r="454" spans="1:9">
      <c r="A454" s="336">
        <v>399</v>
      </c>
      <c r="B454" s="284">
        <f t="shared" si="26"/>
        <v>40563.857032867701</v>
      </c>
      <c r="C454" s="284">
        <f t="shared" si="27"/>
        <v>14070.276348077366</v>
      </c>
      <c r="D454" s="284">
        <f t="shared" si="28"/>
        <v>26493.580684790337</v>
      </c>
      <c r="E454" s="284">
        <f t="shared" si="29"/>
        <v>2674999.4781460641</v>
      </c>
      <c r="F454" s="283"/>
      <c r="G454" s="278"/>
      <c r="H454" s="272"/>
      <c r="I454" s="278"/>
    </row>
    <row r="455" spans="1:9">
      <c r="A455" s="336">
        <v>400</v>
      </c>
      <c r="B455" s="284">
        <f t="shared" si="26"/>
        <v>40563.857032867701</v>
      </c>
      <c r="C455" s="284">
        <f t="shared" si="27"/>
        <v>13932.288948677417</v>
      </c>
      <c r="D455" s="284">
        <f t="shared" si="28"/>
        <v>26631.568084190287</v>
      </c>
      <c r="E455" s="284">
        <f t="shared" si="29"/>
        <v>2648367.910061874</v>
      </c>
      <c r="F455" s="283"/>
      <c r="G455" s="278"/>
      <c r="H455" s="272"/>
      <c r="I455" s="278"/>
    </row>
    <row r="456" spans="1:9">
      <c r="A456" s="336">
        <v>401</v>
      </c>
      <c r="B456" s="284">
        <f t="shared" si="26"/>
        <v>40563.857032867701</v>
      </c>
      <c r="C456" s="284">
        <f t="shared" si="27"/>
        <v>13793.582864905593</v>
      </c>
      <c r="D456" s="284">
        <f t="shared" si="28"/>
        <v>26770.27416796211</v>
      </c>
      <c r="E456" s="284">
        <f t="shared" si="29"/>
        <v>2621597.6358939121</v>
      </c>
      <c r="F456" s="283"/>
      <c r="G456" s="278"/>
      <c r="H456" s="272"/>
      <c r="I456" s="278"/>
    </row>
    <row r="457" spans="1:9">
      <c r="A457" s="336">
        <v>402</v>
      </c>
      <c r="B457" s="284">
        <f t="shared" si="26"/>
        <v>40563.857032867701</v>
      </c>
      <c r="C457" s="284">
        <f t="shared" si="27"/>
        <v>13654.154353614125</v>
      </c>
      <c r="D457" s="284">
        <f t="shared" si="28"/>
        <v>26909.702679253576</v>
      </c>
      <c r="E457" s="284">
        <f t="shared" si="29"/>
        <v>2594687.9332146584</v>
      </c>
      <c r="F457" s="283"/>
      <c r="G457" s="335"/>
      <c r="H457" s="291"/>
      <c r="I457" s="278"/>
    </row>
    <row r="458" spans="1:9">
      <c r="A458" s="336">
        <v>403</v>
      </c>
      <c r="B458" s="284">
        <f t="shared" si="26"/>
        <v>40563.857032867701</v>
      </c>
      <c r="C458" s="284">
        <f t="shared" si="27"/>
        <v>13513.999652159679</v>
      </c>
      <c r="D458" s="284">
        <f t="shared" si="28"/>
        <v>27049.857380708025</v>
      </c>
      <c r="E458" s="284">
        <f t="shared" si="29"/>
        <v>2567638.0758339502</v>
      </c>
      <c r="F458" s="283"/>
      <c r="G458" s="278"/>
      <c r="H458" s="272"/>
      <c r="I458" s="278"/>
    </row>
    <row r="459" spans="1:9">
      <c r="A459" s="336">
        <v>404</v>
      </c>
      <c r="B459" s="284">
        <f t="shared" si="26"/>
        <v>40563.857032867701</v>
      </c>
      <c r="C459" s="284">
        <f t="shared" si="27"/>
        <v>13373.114978301825</v>
      </c>
      <c r="D459" s="284">
        <f t="shared" si="28"/>
        <v>27190.742054565875</v>
      </c>
      <c r="E459" s="284">
        <f t="shared" si="29"/>
        <v>2540447.3337793844</v>
      </c>
      <c r="F459" s="283"/>
      <c r="G459" s="278"/>
      <c r="H459" s="272"/>
      <c r="I459" s="278"/>
    </row>
    <row r="460" spans="1:9">
      <c r="A460" s="336">
        <v>405</v>
      </c>
      <c r="B460" s="284">
        <f t="shared" si="26"/>
        <v>40563.857032867701</v>
      </c>
      <c r="C460" s="284">
        <f t="shared" si="27"/>
        <v>13231.49653010096</v>
      </c>
      <c r="D460" s="284">
        <f t="shared" si="28"/>
        <v>27332.360502766744</v>
      </c>
      <c r="E460" s="284">
        <f t="shared" si="29"/>
        <v>2513114.9732766175</v>
      </c>
      <c r="F460" s="283"/>
      <c r="G460" s="278"/>
      <c r="H460" s="272"/>
      <c r="I460" s="278"/>
    </row>
    <row r="461" spans="1:9">
      <c r="A461" s="336">
        <v>406</v>
      </c>
      <c r="B461" s="284">
        <f t="shared" si="26"/>
        <v>40563.857032867701</v>
      </c>
      <c r="C461" s="284">
        <f t="shared" si="27"/>
        <v>13089.140485815717</v>
      </c>
      <c r="D461" s="284">
        <f t="shared" si="28"/>
        <v>27474.716547051983</v>
      </c>
      <c r="E461" s="284">
        <f t="shared" si="29"/>
        <v>2485640.2567295656</v>
      </c>
      <c r="F461" s="283"/>
      <c r="G461" s="278"/>
      <c r="H461" s="272"/>
      <c r="I461" s="278"/>
    </row>
    <row r="462" spans="1:9">
      <c r="A462" s="336">
        <v>407</v>
      </c>
      <c r="B462" s="284">
        <f t="shared" si="26"/>
        <v>40563.857032867701</v>
      </c>
      <c r="C462" s="284">
        <f t="shared" si="27"/>
        <v>12946.043003799821</v>
      </c>
      <c r="D462" s="284">
        <f t="shared" si="28"/>
        <v>27617.814029067878</v>
      </c>
      <c r="E462" s="284">
        <f t="shared" si="29"/>
        <v>2458022.4427004978</v>
      </c>
      <c r="F462" s="283"/>
      <c r="G462" s="278"/>
      <c r="H462" s="272"/>
      <c r="I462" s="278"/>
    </row>
    <row r="463" spans="1:9">
      <c r="A463" s="336">
        <v>408</v>
      </c>
      <c r="B463" s="284">
        <f t="shared" si="26"/>
        <v>40563.857032867701</v>
      </c>
      <c r="C463" s="284">
        <f t="shared" si="27"/>
        <v>12802.200222398425</v>
      </c>
      <c r="D463" s="284">
        <f t="shared" si="28"/>
        <v>27761.656810469278</v>
      </c>
      <c r="E463" s="284">
        <f t="shared" si="29"/>
        <v>2430260.7858900283</v>
      </c>
      <c r="F463" s="283">
        <v>34</v>
      </c>
      <c r="G463" s="335"/>
      <c r="H463" s="291"/>
      <c r="I463" s="335"/>
    </row>
    <row r="464" spans="1:9">
      <c r="A464" s="336">
        <v>409</v>
      </c>
      <c r="B464" s="284">
        <f t="shared" si="26"/>
        <v>40563.857032867701</v>
      </c>
      <c r="C464" s="284">
        <f t="shared" si="27"/>
        <v>12657.608259843897</v>
      </c>
      <c r="D464" s="284">
        <f t="shared" si="28"/>
        <v>27906.248773023806</v>
      </c>
      <c r="E464" s="284">
        <f t="shared" si="29"/>
        <v>2402354.5371170044</v>
      </c>
      <c r="F464" s="283"/>
      <c r="G464" s="278"/>
      <c r="H464" s="272"/>
      <c r="I464" s="335"/>
    </row>
    <row r="465" spans="1:9">
      <c r="A465" s="336">
        <v>410</v>
      </c>
      <c r="B465" s="284">
        <f t="shared" si="26"/>
        <v>40563.857032867701</v>
      </c>
      <c r="C465" s="284">
        <f t="shared" si="27"/>
        <v>12512.263214151064</v>
      </c>
      <c r="D465" s="284">
        <f t="shared" si="28"/>
        <v>28051.593818716639</v>
      </c>
      <c r="E465" s="284">
        <f t="shared" si="29"/>
        <v>2374302.9432982877</v>
      </c>
      <c r="F465" s="283"/>
      <c r="G465" s="278"/>
      <c r="H465" s="272"/>
      <c r="I465" s="278"/>
    </row>
    <row r="466" spans="1:9">
      <c r="A466" s="336">
        <v>411</v>
      </c>
      <c r="B466" s="284">
        <f t="shared" si="26"/>
        <v>40563.857032867701</v>
      </c>
      <c r="C466" s="284">
        <f t="shared" si="27"/>
        <v>12366.161163011915</v>
      </c>
      <c r="D466" s="284">
        <f t="shared" si="28"/>
        <v>28197.695869855786</v>
      </c>
      <c r="E466" s="284">
        <f t="shared" si="29"/>
        <v>2346105.2474284321</v>
      </c>
      <c r="F466" s="283"/>
      <c r="G466" s="278"/>
      <c r="H466" s="272"/>
      <c r="I466" s="278"/>
    </row>
    <row r="467" spans="1:9">
      <c r="A467" s="336">
        <v>412</v>
      </c>
      <c r="B467" s="284">
        <f t="shared" si="26"/>
        <v>40563.857032867701</v>
      </c>
      <c r="C467" s="284">
        <f t="shared" si="27"/>
        <v>12219.298163689751</v>
      </c>
      <c r="D467" s="284">
        <f t="shared" si="28"/>
        <v>28344.558869177949</v>
      </c>
      <c r="E467" s="284">
        <f t="shared" si="29"/>
        <v>2317760.6885592542</v>
      </c>
      <c r="F467" s="283"/>
      <c r="G467" s="278"/>
      <c r="H467" s="272"/>
      <c r="I467" s="278"/>
    </row>
    <row r="468" spans="1:9">
      <c r="A468" s="336">
        <v>413</v>
      </c>
      <c r="B468" s="284">
        <f t="shared" si="26"/>
        <v>40563.857032867701</v>
      </c>
      <c r="C468" s="284">
        <f t="shared" si="27"/>
        <v>12071.670252912782</v>
      </c>
      <c r="D468" s="284">
        <f t="shared" si="28"/>
        <v>28492.186779954922</v>
      </c>
      <c r="E468" s="284">
        <f t="shared" si="29"/>
        <v>2289268.5017792992</v>
      </c>
      <c r="F468" s="283"/>
      <c r="G468" s="278"/>
      <c r="H468" s="272"/>
      <c r="I468" s="278"/>
    </row>
    <row r="469" spans="1:9">
      <c r="A469" s="336">
        <v>414</v>
      </c>
      <c r="B469" s="284">
        <f t="shared" si="26"/>
        <v>40563.857032867701</v>
      </c>
      <c r="C469" s="284">
        <f t="shared" si="27"/>
        <v>11923.273446767183</v>
      </c>
      <c r="D469" s="284">
        <f t="shared" si="28"/>
        <v>28640.583586100518</v>
      </c>
      <c r="E469" s="284">
        <f t="shared" si="29"/>
        <v>2260627.9181931987</v>
      </c>
      <c r="F469" s="283"/>
      <c r="G469" s="335"/>
      <c r="H469" s="291"/>
      <c r="I469" s="278"/>
    </row>
    <row r="470" spans="1:9">
      <c r="A470" s="336">
        <v>415</v>
      </c>
      <c r="B470" s="284">
        <f t="shared" si="26"/>
        <v>40563.857032867701</v>
      </c>
      <c r="C470" s="284">
        <f t="shared" si="27"/>
        <v>11774.103740589577</v>
      </c>
      <c r="D470" s="284">
        <f t="shared" si="28"/>
        <v>28789.753292278125</v>
      </c>
      <c r="E470" s="284">
        <f t="shared" si="29"/>
        <v>2231838.1649009208</v>
      </c>
      <c r="F470" s="283"/>
      <c r="G470" s="278"/>
      <c r="H470" s="272"/>
      <c r="I470" s="278"/>
    </row>
    <row r="471" spans="1:9">
      <c r="A471" s="336">
        <v>416</v>
      </c>
      <c r="B471" s="284">
        <f t="shared" si="26"/>
        <v>40563.857032867701</v>
      </c>
      <c r="C471" s="284">
        <f t="shared" si="27"/>
        <v>11624.157108858963</v>
      </c>
      <c r="D471" s="284">
        <f t="shared" si="28"/>
        <v>28939.699924008739</v>
      </c>
      <c r="E471" s="284">
        <f t="shared" si="29"/>
        <v>2202898.4649769119</v>
      </c>
      <c r="F471" s="283"/>
      <c r="G471" s="278"/>
      <c r="H471" s="272"/>
      <c r="I471" s="278"/>
    </row>
    <row r="472" spans="1:9">
      <c r="A472" s="336">
        <v>417</v>
      </c>
      <c r="B472" s="284">
        <f t="shared" si="26"/>
        <v>40563.857032867701</v>
      </c>
      <c r="C472" s="284">
        <f t="shared" si="27"/>
        <v>11473.429505088083</v>
      </c>
      <c r="D472" s="284">
        <f t="shared" si="28"/>
        <v>29090.427527779619</v>
      </c>
      <c r="E472" s="284">
        <f t="shared" si="29"/>
        <v>2173808.0374491322</v>
      </c>
      <c r="F472" s="283"/>
      <c r="G472" s="278"/>
      <c r="H472" s="272"/>
      <c r="I472" s="278"/>
    </row>
    <row r="473" spans="1:9">
      <c r="A473" s="336">
        <v>418</v>
      </c>
      <c r="B473" s="284">
        <f t="shared" si="26"/>
        <v>40563.857032867701</v>
      </c>
      <c r="C473" s="284">
        <f t="shared" si="27"/>
        <v>11321.91686171423</v>
      </c>
      <c r="D473" s="284">
        <f t="shared" si="28"/>
        <v>29241.940171153474</v>
      </c>
      <c r="E473" s="284">
        <f t="shared" si="29"/>
        <v>2144566.0972779789</v>
      </c>
      <c r="F473" s="283"/>
      <c r="G473" s="278"/>
      <c r="H473" s="272"/>
      <c r="I473" s="278"/>
    </row>
    <row r="474" spans="1:9">
      <c r="A474" s="336">
        <v>419</v>
      </c>
      <c r="B474" s="284">
        <f t="shared" si="26"/>
        <v>40563.857032867701</v>
      </c>
      <c r="C474" s="284">
        <f t="shared" si="27"/>
        <v>11169.615089989473</v>
      </c>
      <c r="D474" s="284">
        <f t="shared" si="28"/>
        <v>29394.24194287823</v>
      </c>
      <c r="E474" s="284">
        <f t="shared" si="29"/>
        <v>2115171.8553351006</v>
      </c>
      <c r="F474" s="283"/>
      <c r="G474" s="278"/>
      <c r="H474" s="272"/>
      <c r="I474" s="278"/>
    </row>
    <row r="475" spans="1:9">
      <c r="A475" s="336">
        <v>420</v>
      </c>
      <c r="B475" s="284">
        <f t="shared" si="26"/>
        <v>40563.857032867701</v>
      </c>
      <c r="C475" s="284">
        <f t="shared" si="27"/>
        <v>11016.520079870315</v>
      </c>
      <c r="D475" s="284">
        <f t="shared" si="28"/>
        <v>29547.336952997386</v>
      </c>
      <c r="E475" s="284">
        <f t="shared" si="29"/>
        <v>2085624.5183821032</v>
      </c>
      <c r="F475" s="283">
        <v>35</v>
      </c>
      <c r="G475" s="335"/>
      <c r="H475" s="291"/>
      <c r="I475" s="335"/>
    </row>
    <row r="476" spans="1:9">
      <c r="A476" s="336">
        <v>421</v>
      </c>
      <c r="B476" s="284">
        <f t="shared" si="26"/>
        <v>40563.857032867701</v>
      </c>
      <c r="C476" s="284">
        <f t="shared" si="27"/>
        <v>10862.627699906787</v>
      </c>
      <c r="D476" s="284">
        <f t="shared" si="28"/>
        <v>29701.229332960917</v>
      </c>
      <c r="E476" s="284">
        <f t="shared" si="29"/>
        <v>2055923.2890491423</v>
      </c>
      <c r="F476" s="283"/>
      <c r="G476" s="278"/>
      <c r="H476" s="272"/>
      <c r="I476" s="335"/>
    </row>
    <row r="477" spans="1:9">
      <c r="A477" s="336">
        <v>422</v>
      </c>
      <c r="B477" s="284">
        <f t="shared" si="26"/>
        <v>40563.857032867701</v>
      </c>
      <c r="C477" s="284">
        <f t="shared" si="27"/>
        <v>10707.933797130949</v>
      </c>
      <c r="D477" s="284">
        <f t="shared" si="28"/>
        <v>29855.923235736751</v>
      </c>
      <c r="E477" s="284">
        <f t="shared" si="29"/>
        <v>2026067.3658134055</v>
      </c>
      <c r="F477" s="283"/>
      <c r="G477" s="278"/>
      <c r="H477" s="272"/>
      <c r="I477" s="278"/>
    </row>
    <row r="478" spans="1:9">
      <c r="A478" s="336">
        <v>423</v>
      </c>
      <c r="B478" s="284">
        <f t="shared" si="26"/>
        <v>40563.857032867701</v>
      </c>
      <c r="C478" s="284">
        <f t="shared" si="27"/>
        <v>10552.43419694482</v>
      </c>
      <c r="D478" s="284">
        <f t="shared" si="28"/>
        <v>30011.42283592288</v>
      </c>
      <c r="E478" s="284">
        <f t="shared" si="29"/>
        <v>1996055.9429774827</v>
      </c>
      <c r="F478" s="283"/>
      <c r="G478" s="278"/>
      <c r="H478" s="272"/>
      <c r="I478" s="278"/>
    </row>
    <row r="479" spans="1:9">
      <c r="A479" s="336">
        <v>424</v>
      </c>
      <c r="B479" s="284">
        <f t="shared" si="26"/>
        <v>40563.857032867701</v>
      </c>
      <c r="C479" s="284">
        <f t="shared" si="27"/>
        <v>10396.124703007723</v>
      </c>
      <c r="D479" s="284">
        <f t="shared" si="28"/>
        <v>30167.73232985998</v>
      </c>
      <c r="E479" s="284">
        <f t="shared" si="29"/>
        <v>1965888.2106476226</v>
      </c>
      <c r="F479" s="283"/>
      <c r="G479" s="278"/>
      <c r="H479" s="272"/>
      <c r="I479" s="278"/>
    </row>
    <row r="480" spans="1:9">
      <c r="A480" s="336">
        <v>425</v>
      </c>
      <c r="B480" s="284">
        <f t="shared" si="26"/>
        <v>40563.857032867701</v>
      </c>
      <c r="C480" s="284">
        <f t="shared" si="27"/>
        <v>10239.001097123035</v>
      </c>
      <c r="D480" s="284">
        <f t="shared" si="28"/>
        <v>30324.855935744665</v>
      </c>
      <c r="E480" s="284">
        <f t="shared" si="29"/>
        <v>1935563.3547118779</v>
      </c>
      <c r="F480" s="283"/>
      <c r="G480" s="278"/>
      <c r="H480" s="272"/>
      <c r="I480" s="278"/>
    </row>
    <row r="481" spans="1:9">
      <c r="A481" s="336">
        <v>426</v>
      </c>
      <c r="B481" s="284">
        <f t="shared" si="26"/>
        <v>40563.857032867701</v>
      </c>
      <c r="C481" s="284">
        <f t="shared" si="27"/>
        <v>10081.059139124363</v>
      </c>
      <c r="D481" s="284">
        <f t="shared" si="28"/>
        <v>30482.797893743336</v>
      </c>
      <c r="E481" s="284">
        <f t="shared" si="29"/>
        <v>1905080.5568181346</v>
      </c>
      <c r="F481" s="283"/>
      <c r="G481" s="335"/>
      <c r="H481" s="291"/>
      <c r="I481" s="278"/>
    </row>
    <row r="482" spans="1:9">
      <c r="A482" s="336">
        <v>427</v>
      </c>
      <c r="B482" s="284">
        <f t="shared" si="26"/>
        <v>40563.857032867701</v>
      </c>
      <c r="C482" s="284">
        <f t="shared" si="27"/>
        <v>9922.2945667611184</v>
      </c>
      <c r="D482" s="284">
        <f t="shared" si="28"/>
        <v>30641.562466106581</v>
      </c>
      <c r="E482" s="284">
        <f t="shared" si="29"/>
        <v>1874438.994352028</v>
      </c>
      <c r="F482" s="283"/>
      <c r="G482" s="278"/>
      <c r="H482" s="272"/>
      <c r="I482" s="278"/>
    </row>
    <row r="483" spans="1:9">
      <c r="A483" s="336">
        <v>428</v>
      </c>
      <c r="B483" s="284">
        <f t="shared" si="26"/>
        <v>40563.857032867701</v>
      </c>
      <c r="C483" s="284">
        <f t="shared" si="27"/>
        <v>9762.7030955834798</v>
      </c>
      <c r="D483" s="284">
        <f t="shared" si="28"/>
        <v>30801.153937284224</v>
      </c>
      <c r="E483" s="284">
        <f t="shared" si="29"/>
        <v>1843637.8404147439</v>
      </c>
      <c r="F483" s="283"/>
      <c r="G483" s="278"/>
      <c r="H483" s="272"/>
      <c r="I483" s="278"/>
    </row>
    <row r="484" spans="1:9">
      <c r="A484" s="336">
        <v>429</v>
      </c>
      <c r="B484" s="284">
        <f t="shared" si="26"/>
        <v>40563.857032867701</v>
      </c>
      <c r="C484" s="284">
        <f t="shared" si="27"/>
        <v>9602.280418826791</v>
      </c>
      <c r="D484" s="284">
        <f t="shared" si="28"/>
        <v>30961.57661404091</v>
      </c>
      <c r="E484" s="284">
        <f t="shared" si="29"/>
        <v>1812676.263800703</v>
      </c>
      <c r="F484" s="283"/>
      <c r="G484" s="278"/>
      <c r="H484" s="272"/>
      <c r="I484" s="278"/>
    </row>
    <row r="485" spans="1:9">
      <c r="A485" s="336">
        <v>430</v>
      </c>
      <c r="B485" s="284">
        <f t="shared" si="26"/>
        <v>40563.857032867701</v>
      </c>
      <c r="C485" s="284">
        <f t="shared" si="27"/>
        <v>9441.0222072953275</v>
      </c>
      <c r="D485" s="284">
        <f t="shared" si="28"/>
        <v>31122.834825572376</v>
      </c>
      <c r="E485" s="284">
        <f t="shared" si="29"/>
        <v>1781553.4289751307</v>
      </c>
      <c r="F485" s="283"/>
      <c r="G485" s="278"/>
      <c r="H485" s="272"/>
      <c r="I485" s="278"/>
    </row>
    <row r="486" spans="1:9">
      <c r="A486" s="336">
        <v>431</v>
      </c>
      <c r="B486" s="284">
        <f t="shared" si="26"/>
        <v>40563.857032867701</v>
      </c>
      <c r="C486" s="284">
        <f t="shared" si="27"/>
        <v>9278.9241092454722</v>
      </c>
      <c r="D486" s="284">
        <f t="shared" si="28"/>
        <v>31284.932923622229</v>
      </c>
      <c r="E486" s="284">
        <f t="shared" si="29"/>
        <v>1750268.4960515085</v>
      </c>
      <c r="F486" s="283"/>
      <c r="G486" s="278"/>
      <c r="H486" s="272"/>
      <c r="I486" s="278"/>
    </row>
    <row r="487" spans="1:9">
      <c r="A487" s="336">
        <v>432</v>
      </c>
      <c r="B487" s="284">
        <f t="shared" si="26"/>
        <v>40563.857032867701</v>
      </c>
      <c r="C487" s="284">
        <f t="shared" si="27"/>
        <v>9115.9817502682727</v>
      </c>
      <c r="D487" s="284">
        <f t="shared" si="28"/>
        <v>31447.875282599431</v>
      </c>
      <c r="E487" s="284">
        <f t="shared" si="29"/>
        <v>1718820.6207689091</v>
      </c>
      <c r="F487" s="283">
        <v>36</v>
      </c>
      <c r="G487" s="335"/>
      <c r="H487" s="291"/>
      <c r="I487" s="335"/>
    </row>
    <row r="488" spans="1:9">
      <c r="A488" s="336">
        <v>433</v>
      </c>
      <c r="B488" s="284">
        <f t="shared" si="26"/>
        <v>40563.857032867701</v>
      </c>
      <c r="C488" s="284">
        <f t="shared" si="27"/>
        <v>8952.190733171401</v>
      </c>
      <c r="D488" s="284">
        <f t="shared" si="28"/>
        <v>31611.666299696299</v>
      </c>
      <c r="E488" s="284">
        <f t="shared" si="29"/>
        <v>1687208.9544692128</v>
      </c>
      <c r="F488" s="283"/>
      <c r="G488" s="278"/>
      <c r="H488" s="272"/>
      <c r="I488" s="335"/>
    </row>
    <row r="489" spans="1:9">
      <c r="A489" s="336">
        <v>434</v>
      </c>
      <c r="B489" s="284">
        <f t="shared" si="26"/>
        <v>40563.857032867701</v>
      </c>
      <c r="C489" s="284">
        <f t="shared" si="27"/>
        <v>8787.5466378604833</v>
      </c>
      <c r="D489" s="284">
        <f t="shared" si="28"/>
        <v>31776.310395007218</v>
      </c>
      <c r="E489" s="284">
        <f t="shared" si="29"/>
        <v>1655432.6440742055</v>
      </c>
      <c r="F489" s="283"/>
      <c r="G489" s="278"/>
      <c r="H489" s="272"/>
      <c r="I489" s="278"/>
    </row>
    <row r="490" spans="1:9">
      <c r="A490" s="336">
        <v>435</v>
      </c>
      <c r="B490" s="284">
        <f t="shared" si="26"/>
        <v>40563.857032867701</v>
      </c>
      <c r="C490" s="284">
        <f t="shared" si="27"/>
        <v>8622.0450212198211</v>
      </c>
      <c r="D490" s="284">
        <f t="shared" si="28"/>
        <v>31941.812011647882</v>
      </c>
      <c r="E490" s="284">
        <f t="shared" si="29"/>
        <v>1623490.8320625576</v>
      </c>
      <c r="F490" s="283"/>
      <c r="G490" s="278"/>
      <c r="H490" s="272"/>
      <c r="I490" s="278"/>
    </row>
    <row r="491" spans="1:9">
      <c r="A491" s="336">
        <v>436</v>
      </c>
      <c r="B491" s="284">
        <f t="shared" si="26"/>
        <v>40563.857032867701</v>
      </c>
      <c r="C491" s="284">
        <f t="shared" si="27"/>
        <v>8455.6814169924874</v>
      </c>
      <c r="D491" s="284">
        <f t="shared" si="28"/>
        <v>32108.175615875214</v>
      </c>
      <c r="E491" s="284">
        <f t="shared" si="29"/>
        <v>1591382.6564466823</v>
      </c>
      <c r="F491" s="283"/>
      <c r="G491" s="278"/>
      <c r="H491" s="272"/>
      <c r="I491" s="278"/>
    </row>
    <row r="492" spans="1:9">
      <c r="A492" s="336">
        <v>437</v>
      </c>
      <c r="B492" s="284">
        <f t="shared" si="26"/>
        <v>40563.857032867701</v>
      </c>
      <c r="C492" s="284">
        <f t="shared" si="27"/>
        <v>8288.4513356598036</v>
      </c>
      <c r="D492" s="284">
        <f t="shared" si="28"/>
        <v>32275.405697207898</v>
      </c>
      <c r="E492" s="284">
        <f t="shared" si="29"/>
        <v>1559107.2507494744</v>
      </c>
      <c r="F492" s="283"/>
      <c r="G492" s="278"/>
      <c r="H492" s="272"/>
      <c r="I492" s="278"/>
    </row>
    <row r="493" spans="1:9">
      <c r="A493" s="336">
        <v>438</v>
      </c>
      <c r="B493" s="284">
        <f t="shared" si="26"/>
        <v>40563.857032867701</v>
      </c>
      <c r="C493" s="284">
        <f t="shared" si="27"/>
        <v>8120.3502643201791</v>
      </c>
      <c r="D493" s="284">
        <f t="shared" si="28"/>
        <v>32443.506768547522</v>
      </c>
      <c r="E493" s="284">
        <f t="shared" si="29"/>
        <v>1526663.7439809269</v>
      </c>
      <c r="F493" s="283"/>
      <c r="G493" s="335"/>
      <c r="H493" s="291"/>
      <c r="I493" s="278"/>
    </row>
    <row r="494" spans="1:9">
      <c r="A494" s="336">
        <v>439</v>
      </c>
      <c r="B494" s="284">
        <f t="shared" si="26"/>
        <v>40563.857032867701</v>
      </c>
      <c r="C494" s="284">
        <f t="shared" si="27"/>
        <v>7951.3736665673277</v>
      </c>
      <c r="D494" s="284">
        <f t="shared" si="28"/>
        <v>32612.483366300374</v>
      </c>
      <c r="E494" s="284">
        <f t="shared" si="29"/>
        <v>1494051.2606146266</v>
      </c>
      <c r="F494" s="283"/>
      <c r="G494" s="278"/>
      <c r="H494" s="272"/>
      <c r="I494" s="278"/>
    </row>
    <row r="495" spans="1:9">
      <c r="A495" s="336">
        <v>440</v>
      </c>
      <c r="B495" s="284">
        <f t="shared" si="26"/>
        <v>40563.857032867701</v>
      </c>
      <c r="C495" s="284">
        <f t="shared" si="27"/>
        <v>7781.516982367847</v>
      </c>
      <c r="D495" s="284">
        <f t="shared" si="28"/>
        <v>32782.340050499857</v>
      </c>
      <c r="E495" s="284">
        <f t="shared" si="29"/>
        <v>1461268.9205641267</v>
      </c>
      <c r="F495" s="283"/>
      <c r="G495" s="278"/>
      <c r="H495" s="272"/>
      <c r="I495" s="278"/>
    </row>
    <row r="496" spans="1:9">
      <c r="A496" s="336">
        <v>441</v>
      </c>
      <c r="B496" s="284">
        <f t="shared" si="26"/>
        <v>40563.857032867701</v>
      </c>
      <c r="C496" s="284">
        <f t="shared" si="27"/>
        <v>7610.7756279381601</v>
      </c>
      <c r="D496" s="284">
        <f t="shared" si="28"/>
        <v>32953.081404929544</v>
      </c>
      <c r="E496" s="284">
        <f t="shared" si="29"/>
        <v>1428315.8391591972</v>
      </c>
      <c r="F496" s="283"/>
      <c r="G496" s="278"/>
      <c r="H496" s="272"/>
      <c r="I496" s="278"/>
    </row>
    <row r="497" spans="1:9">
      <c r="A497" s="336">
        <v>442</v>
      </c>
      <c r="B497" s="284">
        <f t="shared" si="26"/>
        <v>40563.857032867701</v>
      </c>
      <c r="C497" s="284">
        <f t="shared" si="27"/>
        <v>7439.1449956208189</v>
      </c>
      <c r="D497" s="284">
        <f t="shared" si="28"/>
        <v>33124.712037246885</v>
      </c>
      <c r="E497" s="284">
        <f t="shared" si="29"/>
        <v>1395191.1271219503</v>
      </c>
      <c r="F497" s="283"/>
      <c r="G497" s="278"/>
      <c r="H497" s="272"/>
      <c r="I497" s="278"/>
    </row>
    <row r="498" spans="1:9">
      <c r="A498" s="336">
        <v>443</v>
      </c>
      <c r="B498" s="284">
        <f t="shared" si="26"/>
        <v>40563.857032867701</v>
      </c>
      <c r="C498" s="284">
        <f t="shared" si="27"/>
        <v>7266.6204537601579</v>
      </c>
      <c r="D498" s="284">
        <f t="shared" si="28"/>
        <v>33297.236579107543</v>
      </c>
      <c r="E498" s="284">
        <f t="shared" si="29"/>
        <v>1361893.8905428427</v>
      </c>
      <c r="F498" s="283"/>
      <c r="G498" s="278"/>
      <c r="H498" s="272"/>
      <c r="I498" s="278"/>
    </row>
    <row r="499" spans="1:9">
      <c r="A499" s="336">
        <v>444</v>
      </c>
      <c r="B499" s="284">
        <f t="shared" si="26"/>
        <v>40563.857032867701</v>
      </c>
      <c r="C499" s="284">
        <f t="shared" si="27"/>
        <v>7093.1973465773053</v>
      </c>
      <c r="D499" s="284">
        <f t="shared" si="28"/>
        <v>33470.659686290397</v>
      </c>
      <c r="E499" s="284">
        <f t="shared" si="29"/>
        <v>1328423.2308565523</v>
      </c>
      <c r="F499" s="283">
        <v>37</v>
      </c>
      <c r="G499" s="335"/>
      <c r="H499" s="291"/>
      <c r="I499" s="335"/>
    </row>
    <row r="500" spans="1:9">
      <c r="A500" s="336">
        <v>445</v>
      </c>
      <c r="B500" s="284">
        <f t="shared" si="26"/>
        <v>40563.857032867701</v>
      </c>
      <c r="C500" s="284">
        <f t="shared" si="27"/>
        <v>6918.8709940445433</v>
      </c>
      <c r="D500" s="284">
        <f t="shared" si="28"/>
        <v>33644.986038823161</v>
      </c>
      <c r="E500" s="284">
        <f t="shared" si="29"/>
        <v>1294778.2448177291</v>
      </c>
      <c r="F500" s="283"/>
      <c r="G500" s="278"/>
      <c r="H500" s="272"/>
      <c r="I500" s="335"/>
    </row>
    <row r="501" spans="1:9">
      <c r="A501" s="336">
        <v>446</v>
      </c>
      <c r="B501" s="284">
        <f t="shared" si="26"/>
        <v>40563.857032867701</v>
      </c>
      <c r="C501" s="284">
        <f t="shared" si="27"/>
        <v>6743.6366917590058</v>
      </c>
      <c r="D501" s="284">
        <f t="shared" si="28"/>
        <v>33820.220341108696</v>
      </c>
      <c r="E501" s="284">
        <f t="shared" si="29"/>
        <v>1260958.0244766204</v>
      </c>
      <c r="F501" s="283"/>
      <c r="G501" s="278"/>
      <c r="H501" s="272"/>
      <c r="I501" s="278"/>
    </row>
    <row r="502" spans="1:9">
      <c r="A502" s="336">
        <v>447</v>
      </c>
      <c r="B502" s="284">
        <f t="shared" si="26"/>
        <v>40563.857032867701</v>
      </c>
      <c r="C502" s="284">
        <f t="shared" si="27"/>
        <v>6567.4897108157311</v>
      </c>
      <c r="D502" s="284">
        <f t="shared" si="28"/>
        <v>33996.36732205197</v>
      </c>
      <c r="E502" s="284">
        <f t="shared" si="29"/>
        <v>1226961.6571545685</v>
      </c>
      <c r="F502" s="283"/>
      <c r="G502" s="278"/>
      <c r="H502" s="272"/>
      <c r="I502" s="278"/>
    </row>
    <row r="503" spans="1:9">
      <c r="A503" s="336">
        <v>448</v>
      </c>
      <c r="B503" s="284">
        <f t="shared" si="26"/>
        <v>40563.857032867701</v>
      </c>
      <c r="C503" s="284">
        <f t="shared" si="27"/>
        <v>6390.4252976800444</v>
      </c>
      <c r="D503" s="284">
        <f t="shared" si="28"/>
        <v>34173.43173518766</v>
      </c>
      <c r="E503" s="284">
        <f t="shared" si="29"/>
        <v>1192788.2254193807</v>
      </c>
      <c r="F503" s="283"/>
      <c r="G503" s="278"/>
      <c r="H503" s="272"/>
      <c r="I503" s="278"/>
    </row>
    <row r="504" spans="1:9">
      <c r="A504" s="336">
        <v>449</v>
      </c>
      <c r="B504" s="284">
        <f t="shared" ref="B504:B535" si="30">IF(A504&gt;12*$D$14,0,$D$20)</f>
        <v>40563.857032867701</v>
      </c>
      <c r="C504" s="284">
        <f t="shared" ref="C504:C535" si="31">IF(A504&gt;12*$D$14,0,E503*$D$10/12)</f>
        <v>6212.4386740592745</v>
      </c>
      <c r="D504" s="284">
        <f t="shared" ref="D504:D535" si="32">IF(A504&gt;12*$D$14,0,B504-C504)</f>
        <v>34351.418358808427</v>
      </c>
      <c r="E504" s="284">
        <f t="shared" ref="E504:E535" si="33">IF(A504&gt;12*$D$14,0,E503-D504)</f>
        <v>1158436.8070605723</v>
      </c>
      <c r="F504" s="283"/>
      <c r="G504" s="278"/>
      <c r="H504" s="272"/>
      <c r="I504" s="278"/>
    </row>
    <row r="505" spans="1:9">
      <c r="A505" s="336">
        <v>450</v>
      </c>
      <c r="B505" s="284">
        <f t="shared" si="30"/>
        <v>40563.857032867701</v>
      </c>
      <c r="C505" s="284">
        <f t="shared" si="31"/>
        <v>6033.5250367738145</v>
      </c>
      <c r="D505" s="284">
        <f t="shared" si="32"/>
        <v>34530.33199609389</v>
      </c>
      <c r="E505" s="284">
        <f t="shared" si="33"/>
        <v>1123906.4750644783</v>
      </c>
      <c r="F505" s="283"/>
      <c r="G505" s="335"/>
      <c r="H505" s="291"/>
      <c r="I505" s="278"/>
    </row>
    <row r="506" spans="1:9">
      <c r="A506" s="336">
        <v>451</v>
      </c>
      <c r="B506" s="284">
        <f t="shared" si="30"/>
        <v>40563.857032867701</v>
      </c>
      <c r="C506" s="284">
        <f t="shared" si="31"/>
        <v>5853.6795576274917</v>
      </c>
      <c r="D506" s="284">
        <f t="shared" si="32"/>
        <v>34710.177475240213</v>
      </c>
      <c r="E506" s="284">
        <f t="shared" si="33"/>
        <v>1089196.297589238</v>
      </c>
      <c r="F506" s="283"/>
      <c r="G506" s="278"/>
      <c r="H506" s="272"/>
      <c r="I506" s="278"/>
    </row>
    <row r="507" spans="1:9">
      <c r="A507" s="336">
        <v>452</v>
      </c>
      <c r="B507" s="284">
        <f t="shared" si="30"/>
        <v>40563.857032867701</v>
      </c>
      <c r="C507" s="284">
        <f t="shared" si="31"/>
        <v>5672.8973832772817</v>
      </c>
      <c r="D507" s="284">
        <f t="shared" si="32"/>
        <v>34890.959649590419</v>
      </c>
      <c r="E507" s="284">
        <f t="shared" si="33"/>
        <v>1054305.3379396477</v>
      </c>
      <c r="F507" s="283"/>
      <c r="G507" s="278"/>
      <c r="H507" s="272"/>
      <c r="I507" s="278"/>
    </row>
    <row r="508" spans="1:9">
      <c r="A508" s="336">
        <v>453</v>
      </c>
      <c r="B508" s="284">
        <f t="shared" si="30"/>
        <v>40563.857032867701</v>
      </c>
      <c r="C508" s="284">
        <f t="shared" si="31"/>
        <v>5491.1736351023319</v>
      </c>
      <c r="D508" s="284">
        <f t="shared" si="32"/>
        <v>35072.683397765373</v>
      </c>
      <c r="E508" s="284">
        <f t="shared" si="33"/>
        <v>1019232.6545418823</v>
      </c>
      <c r="F508" s="283"/>
      <c r="G508" s="278"/>
      <c r="H508" s="272"/>
      <c r="I508" s="278"/>
    </row>
    <row r="509" spans="1:9">
      <c r="A509" s="336">
        <v>454</v>
      </c>
      <c r="B509" s="284">
        <f t="shared" si="30"/>
        <v>40563.857032867701</v>
      </c>
      <c r="C509" s="284">
        <f t="shared" si="31"/>
        <v>5308.5034090723038</v>
      </c>
      <c r="D509" s="284">
        <f t="shared" si="32"/>
        <v>35255.353623795396</v>
      </c>
      <c r="E509" s="284">
        <f t="shared" si="33"/>
        <v>983977.3009180869</v>
      </c>
      <c r="F509" s="283"/>
      <c r="G509" s="278"/>
      <c r="H509" s="272"/>
      <c r="I509" s="278"/>
    </row>
    <row r="510" spans="1:9">
      <c r="A510" s="336">
        <v>455</v>
      </c>
      <c r="B510" s="284">
        <f t="shared" si="30"/>
        <v>40563.857032867701</v>
      </c>
      <c r="C510" s="284">
        <f t="shared" si="31"/>
        <v>5124.8817756150356</v>
      </c>
      <c r="D510" s="284">
        <f t="shared" si="32"/>
        <v>35438.975257252663</v>
      </c>
      <c r="E510" s="284">
        <f t="shared" si="33"/>
        <v>948538.32566083421</v>
      </c>
      <c r="F510" s="283"/>
      <c r="G510" s="278"/>
      <c r="H510" s="272"/>
      <c r="I510" s="278"/>
    </row>
    <row r="511" spans="1:9">
      <c r="A511" s="336">
        <v>456</v>
      </c>
      <c r="B511" s="284">
        <f t="shared" si="30"/>
        <v>40563.857032867701</v>
      </c>
      <c r="C511" s="284">
        <f t="shared" si="31"/>
        <v>4940.3037794835118</v>
      </c>
      <c r="D511" s="284">
        <f t="shared" si="32"/>
        <v>35623.553253384191</v>
      </c>
      <c r="E511" s="284">
        <f t="shared" si="33"/>
        <v>912914.77240745001</v>
      </c>
      <c r="F511" s="285">
        <v>38</v>
      </c>
      <c r="G511" s="278"/>
      <c r="H511" s="272"/>
      <c r="I511" s="278"/>
    </row>
    <row r="512" spans="1:9">
      <c r="A512" s="336">
        <v>457</v>
      </c>
      <c r="B512" s="284">
        <f t="shared" si="30"/>
        <v>40563.857032867701</v>
      </c>
      <c r="C512" s="284">
        <f t="shared" si="31"/>
        <v>4754.7644396221358</v>
      </c>
      <c r="D512" s="284">
        <f t="shared" si="32"/>
        <v>35809.092593245565</v>
      </c>
      <c r="E512" s="284">
        <f t="shared" si="33"/>
        <v>877105.67981420446</v>
      </c>
      <c r="F512" s="283"/>
      <c r="G512" s="278"/>
      <c r="H512" s="272"/>
      <c r="I512" s="278"/>
    </row>
    <row r="513" spans="1:9">
      <c r="A513" s="336">
        <v>458</v>
      </c>
      <c r="B513" s="284">
        <f t="shared" si="30"/>
        <v>40563.857032867701</v>
      </c>
      <c r="C513" s="284">
        <f t="shared" si="31"/>
        <v>4568.2587490323149</v>
      </c>
      <c r="D513" s="284">
        <f t="shared" si="32"/>
        <v>35995.598283835388</v>
      </c>
      <c r="E513" s="284">
        <f t="shared" si="33"/>
        <v>841110.08153036912</v>
      </c>
      <c r="F513" s="283"/>
      <c r="G513" s="278"/>
      <c r="H513" s="272"/>
      <c r="I513" s="278"/>
    </row>
    <row r="514" spans="1:9">
      <c r="A514" s="336">
        <v>459</v>
      </c>
      <c r="B514" s="284">
        <f t="shared" si="30"/>
        <v>40563.857032867701</v>
      </c>
      <c r="C514" s="284">
        <f t="shared" si="31"/>
        <v>4380.7816746373392</v>
      </c>
      <c r="D514" s="284">
        <f t="shared" si="32"/>
        <v>36183.075358230359</v>
      </c>
      <c r="E514" s="284">
        <f t="shared" si="33"/>
        <v>804927.00617213873</v>
      </c>
      <c r="F514" s="283"/>
      <c r="G514" s="278"/>
      <c r="H514" s="272"/>
      <c r="I514" s="278"/>
    </row>
    <row r="515" spans="1:9">
      <c r="A515" s="336">
        <v>460</v>
      </c>
      <c r="B515" s="284">
        <f t="shared" si="30"/>
        <v>40563.857032867701</v>
      </c>
      <c r="C515" s="284">
        <f t="shared" si="31"/>
        <v>4192.3281571465559</v>
      </c>
      <c r="D515" s="284">
        <f t="shared" si="32"/>
        <v>36371.528875721146</v>
      </c>
      <c r="E515" s="284">
        <f t="shared" si="33"/>
        <v>768555.47729641758</v>
      </c>
      <c r="F515" s="283"/>
      <c r="G515" s="278"/>
      <c r="H515" s="272"/>
      <c r="I515" s="278"/>
    </row>
    <row r="516" spans="1:9">
      <c r="A516" s="336">
        <v>461</v>
      </c>
      <c r="B516" s="284">
        <f t="shared" si="30"/>
        <v>40563.857032867701</v>
      </c>
      <c r="C516" s="284">
        <f t="shared" si="31"/>
        <v>4002.8931109188416</v>
      </c>
      <c r="D516" s="284">
        <f t="shared" si="32"/>
        <v>36560.96392194886</v>
      </c>
      <c r="E516" s="284">
        <f t="shared" si="33"/>
        <v>731994.51337446878</v>
      </c>
      <c r="F516" s="283"/>
      <c r="G516" s="278"/>
      <c r="H516" s="272"/>
      <c r="I516" s="278"/>
    </row>
    <row r="517" spans="1:9">
      <c r="A517" s="336">
        <v>462</v>
      </c>
      <c r="B517" s="284">
        <f t="shared" si="30"/>
        <v>40563.857032867701</v>
      </c>
      <c r="C517" s="284">
        <f t="shared" si="31"/>
        <v>3812.4714238253582</v>
      </c>
      <c r="D517" s="284">
        <f t="shared" si="32"/>
        <v>36751.385609042343</v>
      </c>
      <c r="E517" s="284">
        <f t="shared" si="33"/>
        <v>695243.12776542641</v>
      </c>
      <c r="F517" s="283"/>
      <c r="G517" s="278"/>
      <c r="H517" s="272"/>
      <c r="I517" s="278"/>
    </row>
    <row r="518" spans="1:9">
      <c r="A518" s="336">
        <v>463</v>
      </c>
      <c r="B518" s="284">
        <f t="shared" si="30"/>
        <v>40563.857032867701</v>
      </c>
      <c r="C518" s="284">
        <f t="shared" si="31"/>
        <v>3621.0579571115959</v>
      </c>
      <c r="D518" s="284">
        <f t="shared" si="32"/>
        <v>36942.799075756106</v>
      </c>
      <c r="E518" s="284">
        <f t="shared" si="33"/>
        <v>658300.32868967031</v>
      </c>
      <c r="F518" s="283"/>
      <c r="G518" s="278"/>
      <c r="H518" s="272"/>
      <c r="I518" s="278"/>
    </row>
    <row r="519" spans="1:9">
      <c r="A519" s="336">
        <v>464</v>
      </c>
      <c r="B519" s="284">
        <f t="shared" si="30"/>
        <v>40563.857032867701</v>
      </c>
      <c r="C519" s="284">
        <f t="shared" si="31"/>
        <v>3428.6475452586997</v>
      </c>
      <c r="D519" s="284">
        <f t="shared" si="32"/>
        <v>37135.209487609005</v>
      </c>
      <c r="E519" s="284">
        <f t="shared" si="33"/>
        <v>621165.11920206132</v>
      </c>
      <c r="F519" s="283"/>
      <c r="G519" s="278"/>
      <c r="H519" s="272"/>
      <c r="I519" s="278"/>
    </row>
    <row r="520" spans="1:9">
      <c r="A520" s="336">
        <v>465</v>
      </c>
      <c r="B520" s="284">
        <f t="shared" si="30"/>
        <v>40563.857032867701</v>
      </c>
      <c r="C520" s="284">
        <f t="shared" si="31"/>
        <v>3235.2349958440695</v>
      </c>
      <c r="D520" s="284">
        <f t="shared" si="32"/>
        <v>37328.622037023633</v>
      </c>
      <c r="E520" s="284">
        <f t="shared" si="33"/>
        <v>583836.49716503767</v>
      </c>
      <c r="F520" s="283"/>
      <c r="G520" s="278"/>
      <c r="H520" s="272"/>
      <c r="I520" s="278"/>
    </row>
    <row r="521" spans="1:9">
      <c r="A521" s="336">
        <v>466</v>
      </c>
      <c r="B521" s="284">
        <f t="shared" si="30"/>
        <v>40563.857032867701</v>
      </c>
      <c r="C521" s="284">
        <f t="shared" si="31"/>
        <v>3040.8150894012379</v>
      </c>
      <c r="D521" s="284">
        <f t="shared" si="32"/>
        <v>37523.041943466465</v>
      </c>
      <c r="E521" s="284">
        <f t="shared" si="33"/>
        <v>546313.45522157126</v>
      </c>
      <c r="F521" s="283"/>
      <c r="G521" s="278"/>
      <c r="H521" s="272"/>
      <c r="I521" s="278"/>
    </row>
    <row r="522" spans="1:9">
      <c r="A522" s="336">
        <v>467</v>
      </c>
      <c r="B522" s="284">
        <f t="shared" si="30"/>
        <v>40563.857032867701</v>
      </c>
      <c r="C522" s="284">
        <f t="shared" si="31"/>
        <v>2845.3825792790171</v>
      </c>
      <c r="D522" s="284">
        <f t="shared" si="32"/>
        <v>37718.474453588686</v>
      </c>
      <c r="E522" s="284">
        <f t="shared" si="33"/>
        <v>508594.98076798255</v>
      </c>
      <c r="F522" s="283"/>
      <c r="G522" s="278"/>
      <c r="H522" s="272"/>
      <c r="I522" s="278"/>
    </row>
    <row r="523" spans="1:9">
      <c r="A523" s="336">
        <v>468</v>
      </c>
      <c r="B523" s="284">
        <f t="shared" si="30"/>
        <v>40563.857032867701</v>
      </c>
      <c r="C523" s="284">
        <f t="shared" si="31"/>
        <v>2648.9321914999091</v>
      </c>
      <c r="D523" s="284">
        <f t="shared" si="32"/>
        <v>37914.924841367792</v>
      </c>
      <c r="E523" s="284">
        <f t="shared" si="33"/>
        <v>470680.05592661473</v>
      </c>
      <c r="F523" s="283">
        <v>39</v>
      </c>
      <c r="G523" s="278"/>
      <c r="H523" s="272"/>
      <c r="I523" s="278"/>
    </row>
    <row r="524" spans="1:9">
      <c r="A524" s="336">
        <v>469</v>
      </c>
      <c r="B524" s="284">
        <f t="shared" si="30"/>
        <v>40563.857032867701</v>
      </c>
      <c r="C524" s="284">
        <f t="shared" si="31"/>
        <v>2451.4586246177851</v>
      </c>
      <c r="D524" s="284">
        <f t="shared" si="32"/>
        <v>38112.398408249916</v>
      </c>
      <c r="E524" s="284">
        <f t="shared" si="33"/>
        <v>432567.65751836484</v>
      </c>
      <c r="F524" s="283"/>
      <c r="G524" s="278"/>
      <c r="H524" s="272"/>
      <c r="I524" s="278"/>
    </row>
    <row r="525" spans="1:9">
      <c r="A525" s="336">
        <v>470</v>
      </c>
      <c r="B525" s="284">
        <f t="shared" si="30"/>
        <v>40563.857032867701</v>
      </c>
      <c r="C525" s="284">
        <f t="shared" si="31"/>
        <v>2252.956549574817</v>
      </c>
      <c r="D525" s="284">
        <f t="shared" si="32"/>
        <v>38310.900483292884</v>
      </c>
      <c r="E525" s="284">
        <f t="shared" si="33"/>
        <v>394256.75703507196</v>
      </c>
      <c r="F525" s="283"/>
      <c r="G525" s="278"/>
      <c r="H525" s="272"/>
      <c r="I525" s="278"/>
    </row>
    <row r="526" spans="1:9">
      <c r="A526" s="336">
        <v>471</v>
      </c>
      <c r="B526" s="284">
        <f t="shared" si="30"/>
        <v>40563.857032867701</v>
      </c>
      <c r="C526" s="284">
        <f t="shared" si="31"/>
        <v>2053.4206095576665</v>
      </c>
      <c r="D526" s="284">
        <f t="shared" si="32"/>
        <v>38510.436423310035</v>
      </c>
      <c r="E526" s="284">
        <f t="shared" si="33"/>
        <v>355746.32061176194</v>
      </c>
      <c r="F526" s="283"/>
      <c r="G526" s="278"/>
      <c r="H526" s="272"/>
      <c r="I526" s="278"/>
    </row>
    <row r="527" spans="1:9">
      <c r="A527" s="336">
        <v>472</v>
      </c>
      <c r="B527" s="284">
        <f t="shared" si="30"/>
        <v>40563.857032867701</v>
      </c>
      <c r="C527" s="284">
        <f t="shared" si="31"/>
        <v>1852.8454198529269</v>
      </c>
      <c r="D527" s="284">
        <f t="shared" si="32"/>
        <v>38711.011613014773</v>
      </c>
      <c r="E527" s="284">
        <f t="shared" si="33"/>
        <v>317035.30899874715</v>
      </c>
      <c r="F527" s="283"/>
      <c r="G527" s="278"/>
      <c r="H527" s="272"/>
      <c r="I527" s="278"/>
    </row>
    <row r="528" spans="1:9">
      <c r="A528" s="336">
        <v>473</v>
      </c>
      <c r="B528" s="284">
        <f t="shared" si="30"/>
        <v>40563.857032867701</v>
      </c>
      <c r="C528" s="284">
        <f t="shared" si="31"/>
        <v>1651.2255677018081</v>
      </c>
      <c r="D528" s="284">
        <f t="shared" si="32"/>
        <v>38912.63146516589</v>
      </c>
      <c r="E528" s="284">
        <f t="shared" si="33"/>
        <v>278122.67753358127</v>
      </c>
      <c r="F528" s="283"/>
      <c r="G528" s="278"/>
      <c r="H528" s="272"/>
      <c r="I528" s="278"/>
    </row>
    <row r="529" spans="1:9">
      <c r="A529" s="336">
        <v>474</v>
      </c>
      <c r="B529" s="284">
        <f t="shared" si="30"/>
        <v>40563.857032867701</v>
      </c>
      <c r="C529" s="284">
        <f t="shared" si="31"/>
        <v>1448.5556121540692</v>
      </c>
      <c r="D529" s="284">
        <f t="shared" si="32"/>
        <v>39115.301420713629</v>
      </c>
      <c r="E529" s="284">
        <f t="shared" si="33"/>
        <v>239007.37611286764</v>
      </c>
      <c r="F529" s="283"/>
      <c r="G529" s="278"/>
      <c r="H529" s="272"/>
      <c r="I529" s="278"/>
    </row>
    <row r="530" spans="1:9">
      <c r="A530" s="336">
        <v>475</v>
      </c>
      <c r="B530" s="284">
        <f t="shared" si="30"/>
        <v>40563.857032867701</v>
      </c>
      <c r="C530" s="284">
        <f t="shared" si="31"/>
        <v>1244.8300839211856</v>
      </c>
      <c r="D530" s="284">
        <f t="shared" si="32"/>
        <v>39319.026948946514</v>
      </c>
      <c r="E530" s="284">
        <f t="shared" si="33"/>
        <v>199688.34916392114</v>
      </c>
      <c r="F530" s="283"/>
      <c r="G530" s="278"/>
      <c r="H530" s="272"/>
      <c r="I530" s="278"/>
    </row>
    <row r="531" spans="1:9">
      <c r="A531" s="336">
        <v>476</v>
      </c>
      <c r="B531" s="284">
        <f t="shared" si="30"/>
        <v>40563.857032867701</v>
      </c>
      <c r="C531" s="284">
        <f t="shared" si="31"/>
        <v>1040.043485228756</v>
      </c>
      <c r="D531" s="284">
        <f t="shared" si="32"/>
        <v>39523.813547638943</v>
      </c>
      <c r="E531" s="284">
        <f t="shared" si="33"/>
        <v>160164.5356162822</v>
      </c>
      <c r="F531" s="283"/>
      <c r="G531" s="278"/>
      <c r="H531" s="272"/>
      <c r="I531" s="278"/>
    </row>
    <row r="532" spans="1:9">
      <c r="A532" s="336">
        <v>477</v>
      </c>
      <c r="B532" s="284">
        <f t="shared" si="30"/>
        <v>40563.857032867701</v>
      </c>
      <c r="C532" s="284">
        <f t="shared" si="31"/>
        <v>834.19028966813642</v>
      </c>
      <c r="D532" s="284">
        <f t="shared" si="32"/>
        <v>39729.666743199567</v>
      </c>
      <c r="E532" s="284">
        <f t="shared" si="33"/>
        <v>120434.86887308263</v>
      </c>
      <c r="F532" s="283"/>
      <c r="G532" s="278"/>
      <c r="H532" s="272"/>
      <c r="I532" s="278"/>
    </row>
    <row r="533" spans="1:9">
      <c r="A533" s="336">
        <v>478</v>
      </c>
      <c r="B533" s="284">
        <f t="shared" si="30"/>
        <v>40563.857032867701</v>
      </c>
      <c r="C533" s="284">
        <f t="shared" si="31"/>
        <v>627.26494204730534</v>
      </c>
      <c r="D533" s="284">
        <f t="shared" si="32"/>
        <v>39936.592090820399</v>
      </c>
      <c r="E533" s="284">
        <f t="shared" si="33"/>
        <v>80498.276782262226</v>
      </c>
      <c r="F533" s="283"/>
      <c r="G533" s="278"/>
      <c r="H533" s="272"/>
      <c r="I533" s="278"/>
    </row>
    <row r="534" spans="1:9">
      <c r="A534" s="336">
        <v>479</v>
      </c>
      <c r="B534" s="284">
        <f t="shared" si="30"/>
        <v>40563.857032867701</v>
      </c>
      <c r="C534" s="284">
        <f t="shared" si="31"/>
        <v>419.2618582409491</v>
      </c>
      <c r="D534" s="284">
        <f t="shared" si="32"/>
        <v>40144.595174626753</v>
      </c>
      <c r="E534" s="284">
        <f t="shared" si="33"/>
        <v>40353.681607635473</v>
      </c>
      <c r="F534" s="283"/>
      <c r="G534" s="278"/>
      <c r="H534" s="272"/>
      <c r="I534" s="278"/>
    </row>
    <row r="535" spans="1:9">
      <c r="A535" s="336">
        <v>480</v>
      </c>
      <c r="B535" s="284">
        <f t="shared" si="30"/>
        <v>40563.857032867701</v>
      </c>
      <c r="C535" s="284">
        <f t="shared" si="31"/>
        <v>210.1754250397681</v>
      </c>
      <c r="D535" s="284">
        <f t="shared" si="32"/>
        <v>40353.68160782793</v>
      </c>
      <c r="E535" s="284">
        <f t="shared" si="33"/>
        <v>-1.924563548527658E-7</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94" zoomScaleNormal="85" zoomScaleSheetLayoutView="90" workbookViewId="0">
      <selection activeCell="D24" sqref="D24"/>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2011-015 Briarcliff Summit Apartments , Atlanta, Fulton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949</v>
      </c>
      <c r="B5" s="461" t="s">
        <v>1493</v>
      </c>
      <c r="H5" s="721"/>
      <c r="I5" s="721"/>
      <c r="J5" s="895" t="s">
        <v>359</v>
      </c>
      <c r="K5" s="896"/>
      <c r="L5" s="522"/>
      <c r="M5" s="943" t="s">
        <v>719</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3077</v>
      </c>
      <c r="G8" s="1394"/>
      <c r="H8" s="1395"/>
      <c r="J8" s="1394"/>
      <c r="K8" s="1395"/>
      <c r="L8" s="732"/>
      <c r="M8" s="1394"/>
      <c r="N8" s="1395"/>
      <c r="P8" s="1394"/>
      <c r="Q8" s="1395"/>
      <c r="S8" s="1394"/>
      <c r="T8" s="1395"/>
    </row>
    <row r="9" spans="1:21" s="458" customFormat="1" ht="12.6" customHeight="1">
      <c r="B9" s="458" t="s">
        <v>671</v>
      </c>
      <c r="G9" s="1394">
        <v>10000</v>
      </c>
      <c r="H9" s="1395"/>
      <c r="J9" s="1394"/>
      <c r="K9" s="1395"/>
      <c r="L9" s="732"/>
      <c r="M9" s="1394"/>
      <c r="N9" s="1395"/>
      <c r="P9" s="1394">
        <v>10000</v>
      </c>
      <c r="Q9" s="1395"/>
      <c r="S9" s="1394"/>
      <c r="T9" s="1395"/>
    </row>
    <row r="10" spans="1:21" s="458" customFormat="1" ht="12.6" customHeight="1">
      <c r="B10" s="458" t="s">
        <v>716</v>
      </c>
      <c r="G10" s="1394">
        <v>5730</v>
      </c>
      <c r="H10" s="1395"/>
      <c r="J10" s="1394"/>
      <c r="K10" s="1395"/>
      <c r="L10" s="732"/>
      <c r="M10" s="1394"/>
      <c r="N10" s="1395"/>
      <c r="P10" s="1394">
        <v>5730</v>
      </c>
      <c r="Q10" s="1395"/>
      <c r="S10" s="1394"/>
      <c r="T10" s="1395"/>
    </row>
    <row r="11" spans="1:21" s="458" customFormat="1" ht="12.6" customHeight="1">
      <c r="B11" s="458" t="s">
        <v>717</v>
      </c>
      <c r="G11" s="1394"/>
      <c r="H11" s="1395"/>
      <c r="J11" s="1394"/>
      <c r="K11" s="1395"/>
      <c r="L11" s="732"/>
      <c r="M11" s="1394"/>
      <c r="N11" s="1395"/>
      <c r="P11" s="1394"/>
      <c r="Q11" s="1395"/>
      <c r="S11" s="1394"/>
      <c r="T11" s="1395"/>
    </row>
    <row r="12" spans="1:21" s="458" customFormat="1" ht="12.6" customHeight="1">
      <c r="B12" s="458" t="s">
        <v>3778</v>
      </c>
      <c r="G12" s="1394">
        <v>10000</v>
      </c>
      <c r="H12" s="1395"/>
      <c r="J12" s="1394"/>
      <c r="K12" s="1395"/>
      <c r="L12" s="732"/>
      <c r="M12" s="1394"/>
      <c r="N12" s="1395"/>
      <c r="P12" s="1394">
        <v>10000</v>
      </c>
      <c r="Q12" s="1395"/>
      <c r="S12" s="1394"/>
      <c r="T12" s="1395"/>
    </row>
    <row r="13" spans="1:21" s="458" customFormat="1" ht="12.6" customHeight="1">
      <c r="B13" s="458" t="s">
        <v>248</v>
      </c>
      <c r="G13" s="1394"/>
      <c r="H13" s="1395"/>
      <c r="J13" s="1394"/>
      <c r="K13" s="1395"/>
      <c r="L13" s="732"/>
      <c r="M13" s="1394"/>
      <c r="N13" s="1395"/>
      <c r="P13" s="1394"/>
      <c r="Q13" s="1395"/>
      <c r="S13" s="1394"/>
      <c r="T13" s="1395"/>
    </row>
    <row r="14" spans="1:21" s="458" customFormat="1" ht="12.6" customHeight="1">
      <c r="A14" s="562" t="str">
        <f>IF(AND(G14&gt;0,OR(C14="",C14="&lt;Enter detailed description here; use Comments section if needed&gt;")),"X","")</f>
        <v/>
      </c>
      <c r="B14" s="458" t="s">
        <v>1229</v>
      </c>
      <c r="C14" s="1396" t="s">
        <v>3981</v>
      </c>
      <c r="D14" s="1396"/>
      <c r="E14" s="1396"/>
      <c r="F14" s="1397"/>
      <c r="G14" s="1394">
        <v>35000</v>
      </c>
      <c r="H14" s="1395"/>
      <c r="J14" s="1394"/>
      <c r="K14" s="1395"/>
      <c r="L14" s="732"/>
      <c r="M14" s="1394"/>
      <c r="N14" s="1395"/>
      <c r="P14" s="1394">
        <v>35000</v>
      </c>
      <c r="Q14" s="1395"/>
      <c r="S14" s="1394"/>
      <c r="T14" s="1395"/>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96" t="s">
        <v>3982</v>
      </c>
      <c r="D15" s="1396"/>
      <c r="E15" s="1396"/>
      <c r="F15" s="1397"/>
      <c r="G15" s="1394">
        <v>7500</v>
      </c>
      <c r="H15" s="1395"/>
      <c r="J15" s="1394"/>
      <c r="K15" s="1395"/>
      <c r="L15" s="732"/>
      <c r="M15" s="1394"/>
      <c r="N15" s="1395"/>
      <c r="P15" s="1394">
        <v>7500</v>
      </c>
      <c r="Q15" s="1395"/>
      <c r="S15" s="1394"/>
      <c r="T15" s="1395"/>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96" t="s">
        <v>3983</v>
      </c>
      <c r="D16" s="1396"/>
      <c r="E16" s="1396"/>
      <c r="F16" s="1397"/>
      <c r="G16" s="1394">
        <v>15000</v>
      </c>
      <c r="H16" s="1395"/>
      <c r="J16" s="1398"/>
      <c r="K16" s="1399"/>
      <c r="L16" s="732"/>
      <c r="M16" s="1394"/>
      <c r="N16" s="1395"/>
      <c r="P16" s="1394">
        <v>15000</v>
      </c>
      <c r="Q16" s="1395"/>
      <c r="S16" s="1398"/>
      <c r="T16" s="1399"/>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83230</v>
      </c>
      <c r="H17" s="900"/>
      <c r="J17" s="899">
        <f>SUM(J8:K16)</f>
        <v>0</v>
      </c>
      <c r="K17" s="947"/>
      <c r="L17" s="732"/>
      <c r="M17" s="899">
        <f>SUM(M8:N16)</f>
        <v>0</v>
      </c>
      <c r="N17" s="900"/>
      <c r="P17" s="899">
        <f>SUM(P8:Q16)</f>
        <v>83230</v>
      </c>
      <c r="Q17" s="900"/>
      <c r="S17" s="899">
        <f>SUM(S8:T16)</f>
        <v>0</v>
      </c>
      <c r="T17" s="900"/>
    </row>
    <row r="18" spans="2:20" s="458" customFormat="1" ht="13.15" customHeight="1">
      <c r="B18" s="461" t="s">
        <v>3304</v>
      </c>
      <c r="J18" s="522"/>
      <c r="K18" s="522"/>
      <c r="M18" s="522"/>
      <c r="N18" s="522"/>
      <c r="O18" s="524" t="str">
        <f>B18</f>
        <v>ACQUISITION</v>
      </c>
      <c r="P18" s="522"/>
      <c r="Q18" s="522"/>
      <c r="S18" s="522"/>
      <c r="T18" s="522"/>
    </row>
    <row r="19" spans="2:20" s="458" customFormat="1" ht="12.6" customHeight="1">
      <c r="B19" s="458" t="s">
        <v>3305</v>
      </c>
      <c r="G19" s="1394">
        <v>2000000</v>
      </c>
      <c r="H19" s="1395"/>
      <c r="J19" s="525"/>
      <c r="K19" s="522"/>
      <c r="L19" s="525"/>
      <c r="M19" s="525"/>
      <c r="N19" s="522"/>
      <c r="P19" s="525"/>
      <c r="Q19" s="522"/>
      <c r="S19" s="1394"/>
      <c r="T19" s="1395"/>
    </row>
    <row r="20" spans="2:20" s="458" customFormat="1" ht="12.6" customHeight="1">
      <c r="B20" s="458" t="s">
        <v>1749</v>
      </c>
      <c r="G20" s="1394"/>
      <c r="H20" s="1395"/>
      <c r="J20" s="525"/>
      <c r="K20" s="522"/>
      <c r="L20" s="525"/>
      <c r="M20" s="525"/>
      <c r="N20" s="522"/>
      <c r="P20" s="525"/>
      <c r="Q20" s="522"/>
      <c r="S20" s="1394"/>
      <c r="T20" s="1395"/>
    </row>
    <row r="21" spans="2:20" s="458" customFormat="1" ht="12.6" customHeight="1">
      <c r="B21" s="458" t="s">
        <v>672</v>
      </c>
      <c r="G21" s="1394">
        <v>30000</v>
      </c>
      <c r="H21" s="1395"/>
      <c r="J21" s="525"/>
      <c r="K21" s="522"/>
      <c r="L21" s="525"/>
      <c r="M21" s="1394">
        <v>30000</v>
      </c>
      <c r="N21" s="1395"/>
      <c r="P21" s="525"/>
      <c r="Q21" s="522"/>
      <c r="S21" s="1394"/>
      <c r="T21" s="1395"/>
    </row>
    <row r="22" spans="2:20" s="458" customFormat="1" ht="12.6" customHeight="1" thickBot="1">
      <c r="B22" s="458" t="s">
        <v>637</v>
      </c>
      <c r="G22" s="1400">
        <v>7700000</v>
      </c>
      <c r="H22" s="1401"/>
      <c r="J22" s="525"/>
      <c r="K22" s="522"/>
      <c r="L22" s="525"/>
      <c r="M22" s="1400">
        <v>7700000</v>
      </c>
      <c r="N22" s="1401"/>
      <c r="P22" s="525"/>
      <c r="Q22" s="522"/>
      <c r="S22" s="1394"/>
      <c r="T22" s="1395"/>
    </row>
    <row r="23" spans="2:20" s="458" customFormat="1" ht="12.6" customHeight="1" thickTop="1">
      <c r="F23" s="523" t="s">
        <v>249</v>
      </c>
      <c r="G23" s="899">
        <f>SUM(G19:H22)</f>
        <v>9730000</v>
      </c>
      <c r="H23" s="900"/>
      <c r="J23" s="525"/>
      <c r="K23" s="522"/>
      <c r="L23" s="525"/>
      <c r="M23" s="899">
        <f>SUM(M21:N22)</f>
        <v>7730000</v>
      </c>
      <c r="N23" s="900"/>
      <c r="P23" s="525"/>
      <c r="Q23" s="522"/>
      <c r="S23" s="899">
        <f>SUM(S19:T22)</f>
        <v>0</v>
      </c>
      <c r="T23" s="900"/>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94">
        <v>35000</v>
      </c>
      <c r="H25" s="1395"/>
      <c r="J25" s="1398"/>
      <c r="K25" s="1399"/>
      <c r="L25" s="732"/>
      <c r="M25" s="1398"/>
      <c r="N25" s="1399"/>
      <c r="P25" s="1398">
        <v>35000</v>
      </c>
      <c r="Q25" s="1399"/>
      <c r="S25" s="1394"/>
      <c r="T25" s="1395"/>
    </row>
    <row r="26" spans="2:20" s="458" customFormat="1" ht="12.6" customHeight="1" thickBot="1">
      <c r="B26" s="458" t="s">
        <v>1752</v>
      </c>
      <c r="G26" s="1394"/>
      <c r="H26" s="1395"/>
      <c r="J26" s="1398"/>
      <c r="K26" s="1399"/>
      <c r="L26" s="526"/>
      <c r="M26" s="955"/>
      <c r="N26" s="955"/>
      <c r="P26" s="955"/>
      <c r="Q26" s="955"/>
      <c r="S26" s="1394"/>
      <c r="T26" s="1395"/>
    </row>
    <row r="27" spans="2:20" s="458" customFormat="1" ht="12.6" customHeight="1" thickTop="1">
      <c r="F27" s="523" t="s">
        <v>249</v>
      </c>
      <c r="G27" s="899">
        <f>SUM(G25:H26)</f>
        <v>35000</v>
      </c>
      <c r="H27" s="900"/>
      <c r="J27" s="899">
        <f>SUM(J25:K26)</f>
        <v>0</v>
      </c>
      <c r="K27" s="900"/>
      <c r="L27" s="525"/>
      <c r="M27" s="899">
        <f>M25</f>
        <v>0</v>
      </c>
      <c r="N27" s="900"/>
      <c r="P27" s="899">
        <f>P25</f>
        <v>35000</v>
      </c>
      <c r="Q27" s="900"/>
      <c r="S27" s="899">
        <f>SUM(S25:T26)</f>
        <v>0</v>
      </c>
      <c r="T27" s="900"/>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94"/>
      <c r="H29" s="1395"/>
      <c r="J29" s="1394"/>
      <c r="K29" s="1395"/>
      <c r="L29" s="732"/>
      <c r="M29" s="1394"/>
      <c r="N29" s="1395"/>
      <c r="P29" s="1394"/>
      <c r="Q29" s="1395"/>
      <c r="S29" s="1394"/>
      <c r="T29" s="1395"/>
    </row>
    <row r="30" spans="2:20" s="458" customFormat="1" ht="12.6" customHeight="1">
      <c r="B30" s="458" t="s">
        <v>1755</v>
      </c>
      <c r="G30" s="1394">
        <f>9993199</f>
        <v>9993199</v>
      </c>
      <c r="H30" s="1395"/>
      <c r="J30" s="1394"/>
      <c r="K30" s="1395"/>
      <c r="L30" s="732"/>
      <c r="M30" s="1394"/>
      <c r="N30" s="1395"/>
      <c r="P30" s="1394">
        <f>+G30</f>
        <v>9993199</v>
      </c>
      <c r="Q30" s="1395"/>
      <c r="S30" s="1394"/>
      <c r="T30" s="1395"/>
    </row>
    <row r="31" spans="2:20" ht="12.6" customHeight="1" thickBot="1">
      <c r="B31" s="458" t="s">
        <v>1756</v>
      </c>
      <c r="G31" s="1394"/>
      <c r="H31" s="1395"/>
      <c r="I31" s="458"/>
      <c r="J31" s="1394"/>
      <c r="K31" s="1395"/>
      <c r="L31" s="732"/>
      <c r="M31" s="1394"/>
      <c r="N31" s="1395"/>
      <c r="O31" s="458"/>
      <c r="P31" s="1394"/>
      <c r="Q31" s="1395"/>
      <c r="R31" s="458"/>
      <c r="S31" s="1394"/>
      <c r="T31" s="1395"/>
    </row>
    <row r="32" spans="2:20" s="458" customFormat="1" ht="12.6" customHeight="1" thickTop="1">
      <c r="C32" s="950"/>
      <c r="D32" s="950"/>
      <c r="E32" s="734"/>
      <c r="F32" s="523" t="s">
        <v>249</v>
      </c>
      <c r="G32" s="899">
        <f>SUM(G29:H31)</f>
        <v>9993199</v>
      </c>
      <c r="H32" s="900"/>
      <c r="J32" s="899">
        <f>SUM(J29:K31)</f>
        <v>0</v>
      </c>
      <c r="K32" s="900"/>
      <c r="L32" s="732"/>
      <c r="M32" s="899">
        <f>SUM(M29:N31)</f>
        <v>0</v>
      </c>
      <c r="N32" s="900"/>
      <c r="P32" s="899">
        <f>SUM(P29:Q31)</f>
        <v>9993199</v>
      </c>
      <c r="Q32" s="900"/>
      <c r="S32" s="899">
        <f>SUM(S29:T31)</f>
        <v>0</v>
      </c>
      <c r="T32" s="900"/>
    </row>
    <row r="33" spans="1:20" s="458" customFormat="1" ht="13.15" customHeight="1">
      <c r="B33" s="461" t="s">
        <v>3491</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601691.93999999994</v>
      </c>
      <c r="G34" s="1394">
        <v>601691</v>
      </c>
      <c r="H34" s="1395"/>
      <c r="I34" s="482"/>
      <c r="J34" s="1394"/>
      <c r="K34" s="1395"/>
      <c r="L34" s="732"/>
      <c r="M34" s="1394"/>
      <c r="N34" s="1395"/>
      <c r="P34" s="1394">
        <v>601691</v>
      </c>
      <c r="Q34" s="1395"/>
      <c r="S34" s="1394"/>
      <c r="T34" s="1395"/>
    </row>
    <row r="35" spans="1:20" s="458" customFormat="1" ht="12.6" customHeight="1" thickBot="1">
      <c r="B35" s="458" t="s">
        <v>3128</v>
      </c>
      <c r="E35" s="619">
        <f>'DCA Underwriting Assumptions'!$R$39+'DCA Underwriting Assumptions'!$R$40</f>
        <v>0.08</v>
      </c>
      <c r="F35" s="620">
        <f>E35*($G$27+$G$32)</f>
        <v>802255.92</v>
      </c>
      <c r="G35" s="1394">
        <v>802256</v>
      </c>
      <c r="H35" s="1395"/>
      <c r="I35" s="482"/>
      <c r="J35" s="1394"/>
      <c r="K35" s="1395"/>
      <c r="L35" s="732"/>
      <c r="M35" s="1394"/>
      <c r="N35" s="1395"/>
      <c r="P35" s="1394">
        <v>802256</v>
      </c>
      <c r="Q35" s="1395"/>
      <c r="S35" s="1394"/>
      <c r="T35" s="1395"/>
    </row>
    <row r="36" spans="1:20" s="458" customFormat="1" ht="12.6" customHeight="1" thickTop="1">
      <c r="B36" s="458" t="s">
        <v>3129</v>
      </c>
      <c r="D36" s="530"/>
      <c r="E36" s="721"/>
      <c r="F36" s="621" t="s">
        <v>249</v>
      </c>
      <c r="G36" s="899">
        <f>SUM(G34:H35)</f>
        <v>1403947</v>
      </c>
      <c r="H36" s="900"/>
      <c r="J36" s="899">
        <f>SUM(J34:K35)</f>
        <v>0</v>
      </c>
      <c r="K36" s="900"/>
      <c r="L36" s="525"/>
      <c r="M36" s="899">
        <f>SUM(M34:N35)</f>
        <v>0</v>
      </c>
      <c r="N36" s="900"/>
      <c r="P36" s="899">
        <f>SUM(P34:Q35)</f>
        <v>1403947</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1759</v>
      </c>
      <c r="C38" s="532"/>
      <c r="D38" s="533">
        <f>B39/'Part VI-Revenues &amp; Expenses'!$M$63</f>
        <v>56876.348258706465</v>
      </c>
      <c r="E38" s="533"/>
      <c r="F38" s="534" t="s">
        <v>2109</v>
      </c>
    </row>
    <row r="39" spans="1:20" s="458" customFormat="1" ht="12.6" customHeight="1">
      <c r="B39" s="951">
        <f>G27+G32+G36</f>
        <v>11432146</v>
      </c>
      <c r="C39" s="952"/>
      <c r="D39" s="535">
        <f>B39/'Part VI-Revenues &amp; Expenses'!$M$98</f>
        <v>106.32378489983445</v>
      </c>
      <c r="E39" s="535"/>
      <c r="F39" s="536" t="s">
        <v>1336</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3036</v>
      </c>
      <c r="F42" s="646">
        <f>G42/$B$39</f>
        <v>4.3736320372395526E-2</v>
      </c>
      <c r="G42" s="1394">
        <v>500000</v>
      </c>
      <c r="H42" s="1395"/>
      <c r="I42" s="458"/>
      <c r="J42" s="1394"/>
      <c r="K42" s="1395"/>
      <c r="L42" s="732"/>
      <c r="M42" s="1394"/>
      <c r="N42" s="1395"/>
      <c r="O42" s="458"/>
      <c r="P42" s="1394">
        <v>500000</v>
      </c>
      <c r="Q42" s="1395"/>
      <c r="R42" s="458"/>
      <c r="S42" s="1394"/>
      <c r="T42" s="1395"/>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949</v>
      </c>
      <c r="B45" s="461" t="s">
        <v>1493</v>
      </c>
      <c r="H45" s="721"/>
      <c r="I45" s="721"/>
      <c r="J45" s="895" t="s">
        <v>359</v>
      </c>
      <c r="K45" s="896"/>
      <c r="L45" s="522"/>
      <c r="M45" s="943" t="s">
        <v>719</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3494</v>
      </c>
      <c r="G48" s="1394">
        <v>293582</v>
      </c>
      <c r="H48" s="1395"/>
      <c r="J48" s="1394"/>
      <c r="K48" s="1395"/>
      <c r="L48" s="732"/>
      <c r="M48" s="1394">
        <v>21434</v>
      </c>
      <c r="N48" s="1395"/>
      <c r="P48" s="1394"/>
      <c r="Q48" s="1395"/>
      <c r="S48" s="1394"/>
      <c r="T48" s="1395"/>
    </row>
    <row r="49" spans="1:21" s="458" customFormat="1" ht="13.15" customHeight="1">
      <c r="B49" s="458" t="s">
        <v>3495</v>
      </c>
      <c r="G49" s="1394">
        <v>476550</v>
      </c>
      <c r="H49" s="1395"/>
      <c r="J49" s="1394"/>
      <c r="K49" s="1395"/>
      <c r="L49" s="732"/>
      <c r="M49" s="1394"/>
      <c r="N49" s="1395"/>
      <c r="P49" s="1394">
        <v>95310</v>
      </c>
      <c r="Q49" s="1395"/>
      <c r="S49" s="1394"/>
      <c r="T49" s="1395"/>
    </row>
    <row r="50" spans="1:21" s="458" customFormat="1" ht="13.15" customHeight="1">
      <c r="B50" s="458" t="s">
        <v>3496</v>
      </c>
      <c r="G50" s="1394">
        <v>30000</v>
      </c>
      <c r="H50" s="1395"/>
      <c r="J50" s="1394"/>
      <c r="K50" s="1395"/>
      <c r="L50" s="732"/>
      <c r="M50" s="1394"/>
      <c r="N50" s="1395"/>
      <c r="P50" s="1394"/>
      <c r="Q50" s="1395"/>
      <c r="S50" s="1394"/>
      <c r="T50" s="1395"/>
    </row>
    <row r="51" spans="1:21" s="458" customFormat="1" ht="13.15" customHeight="1">
      <c r="B51" s="458" t="s">
        <v>1091</v>
      </c>
      <c r="G51" s="1394">
        <v>177691</v>
      </c>
      <c r="H51" s="1395"/>
      <c r="J51" s="1394"/>
      <c r="K51" s="1395"/>
      <c r="L51" s="732"/>
      <c r="M51" s="1394"/>
      <c r="N51" s="1395"/>
      <c r="P51" s="1394">
        <v>35538</v>
      </c>
      <c r="Q51" s="1395"/>
      <c r="S51" s="1394"/>
      <c r="T51" s="1395"/>
    </row>
    <row r="52" spans="1:21" s="458" customFormat="1" ht="13.15" customHeight="1">
      <c r="B52" s="458" t="s">
        <v>3497</v>
      </c>
      <c r="G52" s="1394">
        <v>57455</v>
      </c>
      <c r="H52" s="1395"/>
      <c r="J52" s="1394"/>
      <c r="K52" s="1395"/>
      <c r="L52" s="732"/>
      <c r="M52" s="1394"/>
      <c r="N52" s="1395"/>
      <c r="P52" s="1394">
        <v>11491</v>
      </c>
      <c r="Q52" s="1395"/>
      <c r="S52" s="1394"/>
      <c r="T52" s="1395"/>
    </row>
    <row r="53" spans="1:21" s="458" customFormat="1" ht="13.15" customHeight="1">
      <c r="B53" s="458" t="s">
        <v>371</v>
      </c>
      <c r="G53" s="1394"/>
      <c r="H53" s="1395"/>
      <c r="J53" s="1394"/>
      <c r="K53" s="1395"/>
      <c r="L53" s="732"/>
      <c r="M53" s="1394"/>
      <c r="N53" s="1395"/>
      <c r="P53" s="1394"/>
      <c r="Q53" s="1395"/>
      <c r="S53" s="1394"/>
      <c r="T53" s="1395"/>
    </row>
    <row r="54" spans="1:21" s="458" customFormat="1" ht="12.6" customHeight="1">
      <c r="B54" s="529" t="s">
        <v>1794</v>
      </c>
      <c r="D54" s="527"/>
      <c r="E54" s="527"/>
      <c r="F54" s="528"/>
      <c r="G54" s="1394">
        <v>75211</v>
      </c>
      <c r="H54" s="1395"/>
      <c r="I54" s="482"/>
      <c r="J54" s="1394"/>
      <c r="K54" s="1395"/>
      <c r="L54" s="732"/>
      <c r="M54" s="1394"/>
      <c r="N54" s="1395"/>
      <c r="P54" s="1394">
        <v>75211</v>
      </c>
      <c r="Q54" s="1395"/>
      <c r="S54" s="1394"/>
      <c r="T54" s="1395"/>
    </row>
    <row r="55" spans="1:21" s="458" customFormat="1" ht="13.15" customHeight="1" thickBot="1">
      <c r="A55" s="562" t="str">
        <f>IF(AND(G55&gt;0,OR(C55="",C55="&lt;Enter detailed description here; use Comments section if needed&gt;")),"X","")</f>
        <v/>
      </c>
      <c r="B55" s="458" t="s">
        <v>1229</v>
      </c>
      <c r="C55" s="1396" t="s">
        <v>3996</v>
      </c>
      <c r="D55" s="1396"/>
      <c r="E55" s="1396"/>
      <c r="F55" s="1397"/>
      <c r="G55" s="1400">
        <v>20000</v>
      </c>
      <c r="H55" s="1401"/>
      <c r="J55" s="1400"/>
      <c r="K55" s="1401"/>
      <c r="L55" s="732"/>
      <c r="M55" s="1400"/>
      <c r="N55" s="1401"/>
      <c r="P55" s="1400">
        <v>20000</v>
      </c>
      <c r="Q55" s="1401"/>
      <c r="S55" s="1394"/>
      <c r="T55" s="1395"/>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1130489</v>
      </c>
      <c r="H56" s="900"/>
      <c r="J56" s="899">
        <f>SUM(J48:K55)</f>
        <v>0</v>
      </c>
      <c r="K56" s="900"/>
      <c r="L56" s="525"/>
      <c r="M56" s="899">
        <f>SUM(M48:N55)</f>
        <v>21434</v>
      </c>
      <c r="N56" s="900"/>
      <c r="P56" s="899">
        <f>SUM(P48:Q55)</f>
        <v>237550</v>
      </c>
      <c r="Q56" s="900"/>
      <c r="S56" s="899">
        <f>SUM(S48:T55)</f>
        <v>0</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4">
        <v>393750</v>
      </c>
      <c r="H58" s="1395"/>
      <c r="J58" s="1394"/>
      <c r="K58" s="1395"/>
      <c r="L58" s="732"/>
      <c r="M58" s="1394"/>
      <c r="N58" s="1395"/>
      <c r="P58" s="1394">
        <v>393750</v>
      </c>
      <c r="Q58" s="1395"/>
      <c r="S58" s="1394"/>
      <c r="T58" s="1395"/>
    </row>
    <row r="59" spans="1:21" s="458" customFormat="1" ht="13.15" customHeight="1">
      <c r="B59" s="458" t="s">
        <v>706</v>
      </c>
      <c r="G59" s="1394">
        <v>131250</v>
      </c>
      <c r="H59" s="1395"/>
      <c r="J59" s="1394"/>
      <c r="K59" s="1395"/>
      <c r="L59" s="732"/>
      <c r="M59" s="1394"/>
      <c r="N59" s="1395"/>
      <c r="P59" s="1394">
        <v>131250</v>
      </c>
      <c r="Q59" s="1395"/>
      <c r="S59" s="1394"/>
      <c r="T59" s="1395"/>
    </row>
    <row r="60" spans="1:21" s="458" customFormat="1" ht="13.15" customHeight="1">
      <c r="B60" s="458" t="s">
        <v>1760</v>
      </c>
      <c r="G60" s="1394"/>
      <c r="H60" s="1395"/>
      <c r="J60" s="1394"/>
      <c r="K60" s="1395"/>
      <c r="L60" s="732"/>
      <c r="M60" s="1394"/>
      <c r="N60" s="1395"/>
      <c r="P60" s="1394"/>
      <c r="Q60" s="1395"/>
      <c r="S60" s="1394"/>
      <c r="T60" s="1395"/>
    </row>
    <row r="61" spans="1:21" s="458" customFormat="1" ht="13.15" customHeight="1">
      <c r="B61" s="458" t="s">
        <v>1761</v>
      </c>
      <c r="G61" s="1394"/>
      <c r="H61" s="1395"/>
      <c r="J61" s="1394"/>
      <c r="K61" s="1395"/>
      <c r="L61" s="732"/>
      <c r="M61" s="1394"/>
      <c r="N61" s="1395"/>
      <c r="P61" s="1394"/>
      <c r="Q61" s="1395"/>
      <c r="S61" s="1394"/>
      <c r="T61" s="1395"/>
    </row>
    <row r="62" spans="1:21" s="458" customFormat="1" ht="13.15" customHeight="1">
      <c r="B62" s="458" t="s">
        <v>1762</v>
      </c>
      <c r="G62" s="1394"/>
      <c r="H62" s="1395"/>
      <c r="J62" s="1394"/>
      <c r="K62" s="1395"/>
      <c r="L62" s="732"/>
      <c r="M62" s="1394"/>
      <c r="N62" s="1395"/>
      <c r="P62" s="1394"/>
      <c r="Q62" s="1395"/>
      <c r="S62" s="1394"/>
      <c r="T62" s="1395"/>
    </row>
    <row r="63" spans="1:21" s="458" customFormat="1" ht="13.15" customHeight="1">
      <c r="B63" s="458" t="s">
        <v>1763</v>
      </c>
      <c r="G63" s="1394"/>
      <c r="H63" s="1395"/>
      <c r="J63" s="1394"/>
      <c r="K63" s="1395"/>
      <c r="L63" s="732"/>
      <c r="M63" s="1394"/>
      <c r="N63" s="1395"/>
      <c r="P63" s="1394"/>
      <c r="Q63" s="1395"/>
      <c r="S63" s="1394"/>
      <c r="T63" s="1395"/>
    </row>
    <row r="64" spans="1:21" s="458" customFormat="1" ht="13.15" customHeight="1">
      <c r="B64" s="458" t="s">
        <v>707</v>
      </c>
      <c r="G64" s="1394"/>
      <c r="H64" s="1395"/>
      <c r="J64" s="1394"/>
      <c r="K64" s="1395"/>
      <c r="L64" s="732"/>
      <c r="M64" s="1394"/>
      <c r="N64" s="1395"/>
      <c r="P64" s="1394"/>
      <c r="Q64" s="1395"/>
      <c r="S64" s="1394"/>
      <c r="T64" s="1395"/>
    </row>
    <row r="65" spans="1:21" s="458" customFormat="1" ht="13.15" customHeight="1">
      <c r="B65" s="458" t="s">
        <v>708</v>
      </c>
      <c r="G65" s="1394">
        <v>160000</v>
      </c>
      <c r="H65" s="1395"/>
      <c r="J65" s="1394"/>
      <c r="K65" s="1395"/>
      <c r="L65" s="732"/>
      <c r="M65" s="1394"/>
      <c r="N65" s="1395"/>
      <c r="P65" s="1394">
        <v>80000</v>
      </c>
      <c r="Q65" s="1395"/>
      <c r="S65" s="1394"/>
      <c r="T65" s="1395"/>
    </row>
    <row r="66" spans="1:21" s="458" customFormat="1" ht="13.15" customHeight="1">
      <c r="B66" s="458" t="s">
        <v>3139</v>
      </c>
      <c r="G66" s="1394">
        <v>10000</v>
      </c>
      <c r="H66" s="1395"/>
      <c r="J66" s="1394"/>
      <c r="K66" s="1395"/>
      <c r="L66" s="732"/>
      <c r="M66" s="1394"/>
      <c r="N66" s="1395"/>
      <c r="P66" s="1394">
        <v>10000</v>
      </c>
      <c r="Q66" s="1395"/>
      <c r="S66" s="1394"/>
      <c r="T66" s="1395"/>
    </row>
    <row r="67" spans="1:21" s="458" customFormat="1" ht="13.15" customHeight="1" thickBot="1">
      <c r="A67" s="562" t="str">
        <f>IF(AND(G67&gt;0,OR(C67="",C67="&lt;Enter detailed description here; use Comments section if needed&gt;")),"X","")</f>
        <v/>
      </c>
      <c r="B67" s="458" t="s">
        <v>1229</v>
      </c>
      <c r="C67" s="1396" t="s">
        <v>3985</v>
      </c>
      <c r="D67" s="1396"/>
      <c r="E67" s="1396"/>
      <c r="F67" s="1397"/>
      <c r="G67" s="1394">
        <v>50000</v>
      </c>
      <c r="H67" s="1395"/>
      <c r="J67" s="1394"/>
      <c r="K67" s="1395"/>
      <c r="L67" s="732"/>
      <c r="M67" s="1394"/>
      <c r="N67" s="1395"/>
      <c r="P67" s="1394">
        <v>50000</v>
      </c>
      <c r="Q67" s="1395"/>
      <c r="S67" s="1394"/>
      <c r="T67" s="1395"/>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745000</v>
      </c>
      <c r="H68" s="900"/>
      <c r="J68" s="899">
        <f>SUM(J58:K67)</f>
        <v>0</v>
      </c>
      <c r="K68" s="900"/>
      <c r="L68" s="525"/>
      <c r="M68" s="899">
        <f>SUM(M58:N67)</f>
        <v>0</v>
      </c>
      <c r="N68" s="900"/>
      <c r="P68" s="899">
        <f>SUM(P58:Q67)</f>
        <v>665000</v>
      </c>
      <c r="Q68" s="900"/>
      <c r="S68" s="899">
        <f>SUM(S58:T67)</f>
        <v>0</v>
      </c>
      <c r="T68" s="900"/>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94">
        <v>50142</v>
      </c>
      <c r="H70" s="1395"/>
      <c r="J70" s="1394"/>
      <c r="K70" s="1395"/>
      <c r="L70" s="732"/>
      <c r="M70" s="1394"/>
      <c r="N70" s="1395"/>
      <c r="P70" s="1394">
        <v>50142</v>
      </c>
      <c r="Q70" s="1395"/>
      <c r="S70" s="1394"/>
      <c r="T70" s="1395"/>
    </row>
    <row r="71" spans="1:21" s="458" customFormat="1" ht="13.15" customHeight="1">
      <c r="B71" s="458" t="s">
        <v>1954</v>
      </c>
      <c r="G71" s="1394"/>
      <c r="H71" s="1395"/>
      <c r="J71" s="1394"/>
      <c r="K71" s="1395"/>
      <c r="L71" s="732"/>
      <c r="M71" s="1394"/>
      <c r="N71" s="1395"/>
      <c r="P71" s="1394"/>
      <c r="Q71" s="1395"/>
      <c r="S71" s="1394"/>
      <c r="T71" s="1395"/>
    </row>
    <row r="72" spans="1:21" s="458" customFormat="1" ht="13.15" customHeight="1">
      <c r="B72" s="458" t="s">
        <v>1955</v>
      </c>
      <c r="D72" s="539" t="s">
        <v>2110</v>
      </c>
      <c r="E72" s="1402"/>
      <c r="G72" s="1394"/>
      <c r="H72" s="1395"/>
      <c r="I72" s="482"/>
      <c r="J72" s="1394"/>
      <c r="K72" s="1395"/>
      <c r="L72" s="732"/>
      <c r="M72" s="1394"/>
      <c r="N72" s="1395"/>
      <c r="P72" s="1394"/>
      <c r="Q72" s="1395"/>
      <c r="S72" s="1394"/>
      <c r="T72" s="1395"/>
    </row>
    <row r="73" spans="1:21" s="458" customFormat="1" ht="13.15" customHeight="1" thickBot="1">
      <c r="B73" s="458" t="s">
        <v>1956</v>
      </c>
      <c r="D73" s="539" t="s">
        <v>2110</v>
      </c>
      <c r="E73" s="1402"/>
      <c r="G73" s="1394"/>
      <c r="H73" s="1395"/>
      <c r="I73" s="482"/>
      <c r="J73" s="1394"/>
      <c r="K73" s="1395"/>
      <c r="L73" s="732"/>
      <c r="M73" s="1394"/>
      <c r="N73" s="1395"/>
      <c r="P73" s="1394"/>
      <c r="Q73" s="1395"/>
      <c r="S73" s="1394"/>
      <c r="T73" s="1395"/>
    </row>
    <row r="74" spans="1:21" s="458" customFormat="1" ht="13.15" customHeight="1" thickTop="1">
      <c r="F74" s="523" t="s">
        <v>249</v>
      </c>
      <c r="G74" s="899">
        <f>SUM(G70:H73)</f>
        <v>50142</v>
      </c>
      <c r="H74" s="900"/>
      <c r="J74" s="899">
        <f>SUM(J70:K73)</f>
        <v>0</v>
      </c>
      <c r="K74" s="900"/>
      <c r="L74" s="525"/>
      <c r="M74" s="899">
        <f>SUM(M70:N73)</f>
        <v>0</v>
      </c>
      <c r="N74" s="900"/>
      <c r="P74" s="899">
        <f>SUM(P70:Q73)</f>
        <v>50142</v>
      </c>
      <c r="Q74" s="900"/>
      <c r="S74" s="899">
        <f>SUM(S70:T73)</f>
        <v>0</v>
      </c>
      <c r="T74" s="900"/>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94"/>
      <c r="H76" s="1395"/>
      <c r="J76" s="936"/>
      <c r="K76" s="936"/>
      <c r="L76" s="732"/>
      <c r="M76" s="936"/>
      <c r="N76" s="936"/>
      <c r="P76" s="936"/>
      <c r="Q76" s="936"/>
      <c r="S76" s="1394"/>
      <c r="T76" s="1395"/>
    </row>
    <row r="77" spans="1:21" s="458" customFormat="1" ht="13.15" customHeight="1">
      <c r="B77" s="458" t="s">
        <v>1958</v>
      </c>
      <c r="G77" s="1394"/>
      <c r="H77" s="1395"/>
      <c r="J77" s="901"/>
      <c r="K77" s="901"/>
      <c r="L77" s="732"/>
      <c r="M77" s="901"/>
      <c r="N77" s="901"/>
      <c r="P77" s="901"/>
      <c r="Q77" s="901"/>
      <c r="S77" s="1394"/>
      <c r="T77" s="1395"/>
    </row>
    <row r="78" spans="1:21" s="458" customFormat="1" ht="13.15" customHeight="1">
      <c r="B78" s="458" t="s">
        <v>1959</v>
      </c>
      <c r="G78" s="1394"/>
      <c r="H78" s="1395"/>
      <c r="J78" s="1394"/>
      <c r="K78" s="1395"/>
      <c r="L78" s="732"/>
      <c r="M78" s="1394"/>
      <c r="N78" s="1395"/>
      <c r="P78" s="1394"/>
      <c r="Q78" s="1395"/>
      <c r="S78" s="1394"/>
      <c r="T78" s="1395"/>
    </row>
    <row r="79" spans="1:21" s="458" customFormat="1" ht="13.15" customHeight="1">
      <c r="B79" s="458" t="s">
        <v>1960</v>
      </c>
      <c r="G79" s="1394"/>
      <c r="H79" s="1395"/>
      <c r="J79" s="1394"/>
      <c r="K79" s="1395"/>
      <c r="L79" s="732"/>
      <c r="M79" s="1394"/>
      <c r="N79" s="1395"/>
      <c r="P79" s="1394"/>
      <c r="Q79" s="1395"/>
      <c r="S79" s="1394"/>
      <c r="T79" s="1395"/>
    </row>
    <row r="80" spans="1:21" s="458" customFormat="1" ht="13.15" customHeight="1">
      <c r="B80" s="458" t="s">
        <v>1961</v>
      </c>
      <c r="G80" s="1394"/>
      <c r="H80" s="1395"/>
      <c r="J80" s="1394"/>
      <c r="K80" s="1395"/>
      <c r="L80" s="732"/>
      <c r="M80" s="1394"/>
      <c r="N80" s="1395"/>
      <c r="P80" s="1394"/>
      <c r="Q80" s="1395"/>
      <c r="S80" s="1394"/>
      <c r="T80" s="1395"/>
    </row>
    <row r="81" spans="1:21" s="458" customFormat="1" ht="13.15" customHeight="1">
      <c r="B81" s="458" t="s">
        <v>3437</v>
      </c>
      <c r="G81" s="1394"/>
      <c r="H81" s="1395"/>
      <c r="J81" s="1394"/>
      <c r="K81" s="1395"/>
      <c r="L81" s="732"/>
      <c r="M81" s="1394"/>
      <c r="N81" s="1395"/>
      <c r="P81" s="1394"/>
      <c r="Q81" s="1395"/>
      <c r="S81" s="1394"/>
      <c r="T81" s="1395"/>
    </row>
    <row r="82" spans="1:21" s="458" customFormat="1" ht="13.15" customHeight="1" thickBot="1">
      <c r="A82" s="562" t="str">
        <f>IF(AND(G82&gt;0,OR(C82="",C82="&lt;Enter detailed description here; use Comments section if needed&gt;")),"X","")</f>
        <v/>
      </c>
      <c r="B82" s="458" t="s">
        <v>1229</v>
      </c>
      <c r="C82" s="1396" t="s">
        <v>3658</v>
      </c>
      <c r="D82" s="1396"/>
      <c r="E82" s="1396"/>
      <c r="F82" s="1397"/>
      <c r="G82" s="1394"/>
      <c r="H82" s="1395"/>
      <c r="J82" s="1394"/>
      <c r="K82" s="1395"/>
      <c r="L82" s="732"/>
      <c r="M82" s="1394"/>
      <c r="N82" s="1395"/>
      <c r="P82" s="1394"/>
      <c r="Q82" s="1395"/>
      <c r="S82" s="1394"/>
      <c r="T82" s="1395"/>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0</v>
      </c>
      <c r="H83" s="900"/>
      <c r="J83" s="899">
        <f>SUM(J78:K82)</f>
        <v>0</v>
      </c>
      <c r="K83" s="900"/>
      <c r="L83" s="525"/>
      <c r="M83" s="899">
        <f>SUM(M78:N82)</f>
        <v>0</v>
      </c>
      <c r="N83" s="900"/>
      <c r="P83" s="899">
        <f>SUM(P78:Q82)</f>
        <v>0</v>
      </c>
      <c r="Q83" s="900"/>
      <c r="S83" s="899">
        <f>SUM(S76:T82)</f>
        <v>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949</v>
      </c>
      <c r="B86" s="461" t="s">
        <v>1493</v>
      </c>
      <c r="H86" s="721"/>
      <c r="I86" s="721"/>
      <c r="J86" s="895" t="s">
        <v>359</v>
      </c>
      <c r="K86" s="896"/>
      <c r="L86" s="522"/>
      <c r="M86" s="943" t="s">
        <v>719</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94"/>
      <c r="H89" s="1395"/>
      <c r="J89" s="525"/>
      <c r="K89" s="525"/>
      <c r="L89" s="732"/>
      <c r="M89" s="525"/>
      <c r="N89" s="525"/>
      <c r="P89" s="525"/>
      <c r="Q89" s="525"/>
      <c r="S89" s="1394"/>
      <c r="T89" s="1395"/>
    </row>
    <row r="90" spans="1:21" s="458" customFormat="1" ht="12.6" customHeight="1">
      <c r="B90" s="458" t="s">
        <v>1857</v>
      </c>
      <c r="G90" s="1394">
        <v>4000</v>
      </c>
      <c r="H90" s="1395"/>
      <c r="J90" s="525"/>
      <c r="K90" s="525"/>
      <c r="L90" s="540"/>
      <c r="M90" s="525"/>
      <c r="N90" s="525"/>
      <c r="P90" s="525"/>
      <c r="Q90" s="525"/>
      <c r="S90" s="1394"/>
      <c r="T90" s="1395"/>
    </row>
    <row r="91" spans="1:21" s="458" customFormat="1" ht="12.6" customHeight="1">
      <c r="B91" s="458" t="s">
        <v>2746</v>
      </c>
      <c r="G91" s="1394">
        <v>7500</v>
      </c>
      <c r="H91" s="1395"/>
      <c r="J91" s="525"/>
      <c r="K91" s="525"/>
      <c r="L91" s="540"/>
      <c r="M91" s="525"/>
      <c r="N91" s="525"/>
      <c r="O91" s="721"/>
      <c r="P91" s="525"/>
      <c r="Q91" s="525"/>
      <c r="S91" s="1394"/>
      <c r="T91" s="1395"/>
    </row>
    <row r="92" spans="1:21" s="458" customFormat="1" ht="12.6" customHeight="1">
      <c r="B92" s="458" t="s">
        <v>810</v>
      </c>
      <c r="E92" s="953">
        <f>'DCA Underwriting Assumptions'!$Q$41*$J$165</f>
        <v>66500</v>
      </c>
      <c r="F92" s="954"/>
      <c r="G92" s="1394">
        <v>96250</v>
      </c>
      <c r="H92" s="1395"/>
      <c r="J92" s="525"/>
      <c r="K92" s="525"/>
      <c r="L92" s="732"/>
      <c r="M92" s="525"/>
      <c r="N92" s="525"/>
      <c r="O92" s="721"/>
      <c r="P92" s="525"/>
      <c r="Q92" s="525"/>
      <c r="S92" s="1394"/>
      <c r="T92" s="1395"/>
    </row>
    <row r="93" spans="1:21" s="458" customFormat="1" ht="12.6" customHeight="1">
      <c r="B93" s="458" t="s">
        <v>1243</v>
      </c>
      <c r="E93" s="953">
        <f>'Part VI-Revenues &amp; Expenses'!$M$63*'DCA Underwriting Assumptions'!$Q$44</f>
        <v>140700</v>
      </c>
      <c r="F93" s="954"/>
      <c r="G93" s="1394">
        <v>140700</v>
      </c>
      <c r="H93" s="1395"/>
      <c r="J93" s="418"/>
      <c r="K93" s="418"/>
      <c r="L93" s="418"/>
      <c r="M93" s="418"/>
      <c r="N93" s="418"/>
      <c r="O93" s="418"/>
      <c r="P93" s="418"/>
      <c r="Q93" s="418"/>
      <c r="S93" s="1394"/>
      <c r="T93" s="1395"/>
    </row>
    <row r="94" spans="1:21" s="458" customFormat="1" ht="12.6" customHeight="1">
      <c r="B94" s="458" t="s">
        <v>714</v>
      </c>
      <c r="G94" s="1394"/>
      <c r="H94" s="1395"/>
      <c r="J94" s="418"/>
      <c r="K94" s="418"/>
      <c r="L94" s="418"/>
      <c r="M94" s="418"/>
      <c r="N94" s="418"/>
      <c r="O94" s="418"/>
      <c r="P94" s="418"/>
      <c r="Q94" s="418"/>
      <c r="S94" s="1394"/>
      <c r="T94" s="1395"/>
    </row>
    <row r="95" spans="1:21" s="458" customFormat="1" ht="12.6" customHeight="1">
      <c r="B95" s="458" t="s">
        <v>3551</v>
      </c>
      <c r="G95" s="1394"/>
      <c r="H95" s="1395"/>
      <c r="J95" s="418"/>
      <c r="K95" s="418"/>
      <c r="L95" s="418"/>
      <c r="M95" s="418"/>
      <c r="N95" s="418"/>
      <c r="O95" s="418"/>
      <c r="P95" s="418"/>
      <c r="Q95" s="418"/>
      <c r="S95" s="1394"/>
      <c r="T95" s="1395"/>
    </row>
    <row r="96" spans="1:21" s="458" customFormat="1" ht="12.6" customHeight="1">
      <c r="A96" s="562" t="str">
        <f>IF(AND(G96&gt;0,OR(C96="",C96="&lt;Enter detailed description here; use Comments section if needed&gt;")),"X","")</f>
        <v/>
      </c>
      <c r="B96" s="458" t="s">
        <v>1229</v>
      </c>
      <c r="C96" s="1396" t="s">
        <v>3658</v>
      </c>
      <c r="D96" s="1396"/>
      <c r="E96" s="1396"/>
      <c r="F96" s="1397"/>
      <c r="G96" s="1394"/>
      <c r="H96" s="1395"/>
      <c r="J96" s="418"/>
      <c r="K96" s="418"/>
      <c r="L96" s="418"/>
      <c r="M96" s="418"/>
      <c r="N96" s="418"/>
      <c r="O96" s="418"/>
      <c r="P96" s="418"/>
      <c r="Q96" s="418"/>
      <c r="S96" s="1394"/>
      <c r="T96" s="1395"/>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96" t="s">
        <v>3658</v>
      </c>
      <c r="D97" s="1396"/>
      <c r="E97" s="1396"/>
      <c r="F97" s="1397"/>
      <c r="G97" s="1394"/>
      <c r="H97" s="1395"/>
      <c r="J97" s="418"/>
      <c r="K97" s="418"/>
      <c r="L97" s="418"/>
      <c r="M97" s="418"/>
      <c r="N97" s="418"/>
      <c r="O97" s="418"/>
      <c r="P97" s="418"/>
      <c r="Q97" s="418"/>
      <c r="S97" s="1394"/>
      <c r="T97" s="1395"/>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248450</v>
      </c>
      <c r="H98" s="900"/>
      <c r="J98" s="525"/>
      <c r="K98" s="525"/>
      <c r="L98" s="732"/>
      <c r="M98" s="525"/>
      <c r="N98" s="525"/>
      <c r="P98" s="525"/>
      <c r="Q98" s="525"/>
      <c r="S98" s="899">
        <f>SUM(S89:T97)</f>
        <v>0</v>
      </c>
      <c r="T98" s="900"/>
    </row>
    <row r="99" spans="1:21" s="458" customFormat="1" ht="13.15" customHeight="1">
      <c r="B99" s="461" t="s">
        <v>3438</v>
      </c>
      <c r="J99" s="525"/>
      <c r="K99" s="525"/>
      <c r="M99" s="525"/>
      <c r="N99" s="525"/>
      <c r="O99" s="524" t="str">
        <f>B99</f>
        <v>EQUITY COSTS</v>
      </c>
      <c r="P99" s="525"/>
      <c r="Q99" s="525"/>
      <c r="S99" s="525"/>
      <c r="T99" s="525"/>
    </row>
    <row r="100" spans="1:21" s="458" customFormat="1" ht="12.6" customHeight="1">
      <c r="B100" s="458" t="s">
        <v>370</v>
      </c>
      <c r="G100" s="1394"/>
      <c r="H100" s="1395"/>
      <c r="J100" s="936"/>
      <c r="K100" s="936"/>
      <c r="L100" s="732"/>
      <c r="M100" s="936"/>
      <c r="N100" s="936"/>
      <c r="O100" s="721"/>
      <c r="P100" s="936"/>
      <c r="Q100" s="936"/>
      <c r="S100" s="1394"/>
      <c r="T100" s="1395"/>
    </row>
    <row r="101" spans="1:21" s="458" customFormat="1" ht="12.6" customHeight="1">
      <c r="B101" s="458" t="s">
        <v>372</v>
      </c>
      <c r="G101" s="1394"/>
      <c r="H101" s="1395"/>
      <c r="J101" s="936"/>
      <c r="K101" s="936"/>
      <c r="L101" s="732"/>
      <c r="M101" s="936"/>
      <c r="N101" s="936"/>
      <c r="O101" s="721"/>
      <c r="P101" s="936"/>
      <c r="Q101" s="936"/>
      <c r="S101" s="1394"/>
      <c r="T101" s="1395"/>
    </row>
    <row r="102" spans="1:21" s="458" customFormat="1" ht="12.6" customHeight="1">
      <c r="B102" s="458" t="s">
        <v>3613</v>
      </c>
      <c r="G102" s="1394"/>
      <c r="H102" s="1395"/>
      <c r="J102" s="936"/>
      <c r="K102" s="936"/>
      <c r="L102" s="732"/>
      <c r="M102" s="936"/>
      <c r="N102" s="936"/>
      <c r="O102" s="721"/>
      <c r="P102" s="936"/>
      <c r="Q102" s="936"/>
      <c r="S102" s="1394"/>
      <c r="T102" s="1395"/>
    </row>
    <row r="103" spans="1:21" s="458" customFormat="1" ht="12.6" customHeight="1" thickBot="1">
      <c r="A103" s="562" t="str">
        <f>IF(AND(G103&gt;0,OR(C103="",C103="&lt;Enter detailed description here; use Comments section if needed&gt;")),"X","")</f>
        <v/>
      </c>
      <c r="B103" s="458" t="s">
        <v>1229</v>
      </c>
      <c r="C103" s="1396" t="s">
        <v>3658</v>
      </c>
      <c r="D103" s="1396"/>
      <c r="E103" s="1396"/>
      <c r="F103" s="1397"/>
      <c r="G103" s="1394"/>
      <c r="H103" s="1395"/>
      <c r="J103" s="936"/>
      <c r="K103" s="936"/>
      <c r="L103" s="732"/>
      <c r="M103" s="936"/>
      <c r="N103" s="936"/>
      <c r="O103" s="721"/>
      <c r="P103" s="936"/>
      <c r="Q103" s="936"/>
      <c r="S103" s="1394"/>
      <c r="T103" s="1395"/>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0</v>
      </c>
      <c r="H104" s="900"/>
      <c r="J104" s="936"/>
      <c r="K104" s="936"/>
      <c r="L104" s="732"/>
      <c r="M104" s="936"/>
      <c r="N104" s="936"/>
      <c r="O104" s="721"/>
      <c r="P104" s="936"/>
      <c r="Q104" s="936"/>
      <c r="S104" s="899">
        <f>SUM(S100:T103)</f>
        <v>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0.3</v>
      </c>
      <c r="G106" s="1394">
        <v>540000</v>
      </c>
      <c r="H106" s="1395"/>
      <c r="J106" s="1394"/>
      <c r="K106" s="1395"/>
      <c r="L106" s="524"/>
      <c r="M106" s="1394">
        <v>145500</v>
      </c>
      <c r="N106" s="1395"/>
      <c r="P106" s="1394">
        <v>394500</v>
      </c>
      <c r="Q106" s="1395"/>
      <c r="S106" s="1394"/>
      <c r="T106" s="1395"/>
    </row>
    <row r="107" spans="1:21" s="458" customFormat="1" ht="12.6" customHeight="1">
      <c r="B107" s="458" t="s">
        <v>2914</v>
      </c>
      <c r="F107" s="647">
        <f>G107/$G$109</f>
        <v>0</v>
      </c>
      <c r="G107" s="1394"/>
      <c r="H107" s="1395"/>
      <c r="J107" s="1394"/>
      <c r="K107" s="1395"/>
      <c r="L107" s="732"/>
      <c r="M107" s="1394"/>
      <c r="N107" s="1395"/>
      <c r="P107" s="1394"/>
      <c r="Q107" s="1395"/>
      <c r="S107" s="1394"/>
      <c r="T107" s="1395"/>
    </row>
    <row r="108" spans="1:21" s="458" customFormat="1" ht="12.6" customHeight="1" thickBot="1">
      <c r="B108" s="458" t="s">
        <v>2906</v>
      </c>
      <c r="F108" s="647">
        <f>G108/$G$109</f>
        <v>0.7</v>
      </c>
      <c r="G108" s="1394">
        <v>1260000</v>
      </c>
      <c r="H108" s="1395"/>
      <c r="J108" s="1394"/>
      <c r="K108" s="1395"/>
      <c r="L108" s="732"/>
      <c r="M108" s="1394">
        <v>339500</v>
      </c>
      <c r="N108" s="1395"/>
      <c r="P108" s="1394">
        <v>920500</v>
      </c>
      <c r="Q108" s="1395"/>
      <c r="S108" s="1394"/>
      <c r="T108" s="1395"/>
    </row>
    <row r="109" spans="1:21" s="458" customFormat="1" ht="12.6" customHeight="1" thickTop="1">
      <c r="C109" s="561" t="str">
        <f>IF(G109&lt;='DCA Underwriting Assumptions'!$Q$46,"","Developer Fee exceeds DCA Program Maximum !!!")</f>
        <v/>
      </c>
      <c r="F109" s="523" t="s">
        <v>249</v>
      </c>
      <c r="G109" s="899">
        <f>SUM(G106:H108)</f>
        <v>1800000</v>
      </c>
      <c r="H109" s="900"/>
      <c r="J109" s="899">
        <f>SUM(J106:K108)</f>
        <v>0</v>
      </c>
      <c r="K109" s="900"/>
      <c r="L109" s="732"/>
      <c r="M109" s="899">
        <f>SUM(M106:N108)</f>
        <v>485000</v>
      </c>
      <c r="N109" s="900"/>
      <c r="P109" s="899">
        <f>SUM(P106:Q108)</f>
        <v>1315000</v>
      </c>
      <c r="Q109" s="900"/>
      <c r="S109" s="899">
        <f>SUM(S106:T108)</f>
        <v>0</v>
      </c>
      <c r="T109" s="900"/>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94"/>
      <c r="H111" s="1395"/>
      <c r="J111" s="541"/>
      <c r="K111" s="541"/>
      <c r="L111" s="541"/>
      <c r="M111" s="541"/>
      <c r="N111" s="541"/>
      <c r="P111" s="541"/>
      <c r="Q111" s="541"/>
      <c r="S111" s="1394"/>
      <c r="T111" s="1395"/>
    </row>
    <row r="112" spans="1:21" s="458" customFormat="1" ht="12.6" customHeight="1">
      <c r="B112" s="458" t="s">
        <v>2286</v>
      </c>
      <c r="G112" s="1394">
        <v>307785</v>
      </c>
      <c r="H112" s="1395"/>
      <c r="J112" s="936"/>
      <c r="K112" s="936"/>
      <c r="L112" s="732"/>
      <c r="M112" s="936"/>
      <c r="N112" s="936"/>
      <c r="O112" s="721"/>
      <c r="P112" s="936"/>
      <c r="Q112" s="936"/>
      <c r="R112" s="721"/>
      <c r="S112" s="1394"/>
      <c r="T112" s="1395"/>
    </row>
    <row r="113" spans="1:21" s="458" customFormat="1" ht="12.6" customHeight="1">
      <c r="B113" s="458" t="s">
        <v>1027</v>
      </c>
      <c r="F113" s="482"/>
      <c r="G113" s="1394">
        <v>902283</v>
      </c>
      <c r="H113" s="1395"/>
      <c r="J113" s="540"/>
      <c r="K113" s="540"/>
      <c r="L113" s="540"/>
      <c r="M113" s="540"/>
      <c r="N113" s="540"/>
      <c r="O113" s="721"/>
      <c r="P113" s="540"/>
      <c r="Q113" s="540"/>
      <c r="R113" s="721"/>
      <c r="S113" s="1394"/>
      <c r="T113" s="1395"/>
    </row>
    <row r="114" spans="1:21" s="458" customFormat="1" ht="12.6" customHeight="1">
      <c r="B114" s="458" t="s">
        <v>1921</v>
      </c>
      <c r="G114" s="1394"/>
      <c r="H114" s="1395"/>
      <c r="J114" s="541"/>
      <c r="K114" s="541"/>
      <c r="L114" s="541"/>
      <c r="M114" s="541"/>
      <c r="N114" s="541"/>
      <c r="P114" s="541"/>
      <c r="Q114" s="541"/>
      <c r="S114" s="1394"/>
      <c r="T114" s="1395"/>
    </row>
    <row r="115" spans="1:21" s="458" customFormat="1" ht="12.6" customHeight="1">
      <c r="B115" s="458" t="s">
        <v>1922</v>
      </c>
      <c r="E115" s="458" t="s">
        <v>1470</v>
      </c>
      <c r="F115" s="647">
        <f>G115/'Part VI-Revenues &amp; Expenses'!$M$63</f>
        <v>248.75621890547265</v>
      </c>
      <c r="G115" s="1394">
        <v>50000</v>
      </c>
      <c r="H115" s="1395"/>
      <c r="J115" s="1394"/>
      <c r="K115" s="1395"/>
      <c r="L115" s="732"/>
      <c r="M115" s="1394"/>
      <c r="N115" s="1395"/>
      <c r="P115" s="1394">
        <v>50000</v>
      </c>
      <c r="Q115" s="1395"/>
      <c r="S115" s="1394"/>
      <c r="T115" s="1395"/>
    </row>
    <row r="116" spans="1:21" s="458" customFormat="1" ht="12.6" customHeight="1" thickBot="1">
      <c r="A116" s="562" t="str">
        <f>IF(AND(G116&gt;0,OR(C116="",C116="&lt;Enter detailed description here; use Comments section if needed&gt;")),"X","")</f>
        <v/>
      </c>
      <c r="B116" s="458" t="s">
        <v>1229</v>
      </c>
      <c r="C116" s="1396" t="s">
        <v>3984</v>
      </c>
      <c r="D116" s="1396"/>
      <c r="E116" s="1396"/>
      <c r="F116" s="1397"/>
      <c r="G116" s="1394">
        <v>235145</v>
      </c>
      <c r="H116" s="1395"/>
      <c r="J116" s="1394"/>
      <c r="K116" s="1395"/>
      <c r="L116" s="732"/>
      <c r="M116" s="1394"/>
      <c r="N116" s="1395"/>
      <c r="P116" s="1394"/>
      <c r="Q116" s="1395"/>
      <c r="S116" s="1394"/>
      <c r="T116" s="1395"/>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1495213</v>
      </c>
      <c r="H117" s="900"/>
      <c r="J117" s="899">
        <f>SUM(J115:K116)</f>
        <v>0</v>
      </c>
      <c r="K117" s="900"/>
      <c r="L117" s="732"/>
      <c r="M117" s="899">
        <f>SUM(M115:N116)</f>
        <v>0</v>
      </c>
      <c r="N117" s="900"/>
      <c r="P117" s="899">
        <f>SUM(P115:Q116)</f>
        <v>50000</v>
      </c>
      <c r="Q117" s="900"/>
      <c r="S117" s="899">
        <f>SUM(S111:T116)</f>
        <v>0</v>
      </c>
      <c r="T117" s="900"/>
    </row>
    <row r="118" spans="1:21" s="458" customFormat="1" ht="13.15" customHeight="1">
      <c r="B118" s="461" t="s">
        <v>942</v>
      </c>
      <c r="C118" s="713"/>
      <c r="H118" s="538"/>
      <c r="I118" s="538"/>
      <c r="J118" s="522"/>
      <c r="K118" s="522"/>
      <c r="M118" s="522"/>
      <c r="N118" s="522"/>
      <c r="O118" s="524" t="str">
        <f>B118</f>
        <v>OTHER COSTS</v>
      </c>
      <c r="P118" s="522"/>
      <c r="Q118" s="522"/>
      <c r="S118" s="522"/>
      <c r="T118" s="522"/>
    </row>
    <row r="119" spans="1:21" s="458" customFormat="1" ht="12.6" customHeight="1">
      <c r="B119" s="458" t="s">
        <v>943</v>
      </c>
      <c r="C119" s="713"/>
      <c r="G119" s="1394">
        <v>261050</v>
      </c>
      <c r="H119" s="1395"/>
      <c r="J119" s="1394"/>
      <c r="K119" s="1395"/>
      <c r="L119" s="524"/>
      <c r="M119" s="1394"/>
      <c r="N119" s="1395"/>
      <c r="P119" s="1394">
        <v>261050</v>
      </c>
      <c r="Q119" s="1395"/>
      <c r="S119" s="1394"/>
      <c r="T119" s="1395"/>
    </row>
    <row r="120" spans="1:21" s="458" customFormat="1" ht="12.6" customHeight="1" thickBot="1">
      <c r="A120" s="562" t="str">
        <f>IF(AND(G120&gt;0,OR(C120="",C120="&lt;Enter detailed description here; use Comments section if needed&gt;")),"X","")</f>
        <v/>
      </c>
      <c r="B120" s="458" t="s">
        <v>1229</v>
      </c>
      <c r="C120" s="1396" t="s">
        <v>3986</v>
      </c>
      <c r="D120" s="1396"/>
      <c r="E120" s="1396"/>
      <c r="F120" s="1397"/>
      <c r="G120" s="1394">
        <v>190750</v>
      </c>
      <c r="H120" s="1395"/>
      <c r="J120" s="1394"/>
      <c r="K120" s="1395"/>
      <c r="L120" s="732"/>
      <c r="M120" s="1394"/>
      <c r="N120" s="1395"/>
      <c r="P120" s="1394"/>
      <c r="Q120" s="1395"/>
      <c r="S120" s="1394"/>
      <c r="T120" s="1395"/>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451800</v>
      </c>
      <c r="H121" s="900"/>
      <c r="J121" s="899">
        <f>SUM(J119:K120)</f>
        <v>0</v>
      </c>
      <c r="K121" s="900"/>
      <c r="L121" s="732"/>
      <c r="M121" s="899">
        <f>SUM(M119:N120)</f>
        <v>0</v>
      </c>
      <c r="N121" s="900"/>
      <c r="P121" s="899">
        <f>SUM(P119:Q120)</f>
        <v>261050</v>
      </c>
      <c r="Q121" s="900"/>
      <c r="S121" s="899">
        <f>SUM(S119:T120)</f>
        <v>0</v>
      </c>
      <c r="T121" s="900"/>
    </row>
    <row r="122" spans="1:21" s="458" customFormat="1" ht="3" customHeight="1" thickBot="1">
      <c r="C122" s="713"/>
      <c r="H122" s="538"/>
      <c r="I122" s="538"/>
      <c r="L122" s="721"/>
    </row>
    <row r="123" spans="1:21" s="458" customFormat="1" ht="13.9" customHeight="1" thickBot="1">
      <c r="B123" s="465" t="s">
        <v>374</v>
      </c>
      <c r="G123" s="930">
        <f>G17+G23+G27+G32+G36+G42+G56+G68+G74+G83+G98+G104+G109+G117+G121</f>
        <v>27666470</v>
      </c>
      <c r="H123" s="931"/>
      <c r="J123" s="930">
        <f>J17+J23+J27+J32+J36+J42+J56+J68+J74+J83+J98+J104+J109+J117+J121</f>
        <v>0</v>
      </c>
      <c r="K123" s="931"/>
      <c r="M123" s="930">
        <f>M17+M23+M27+M32+M36+M42+M56+M68+M74+M83+M98+M104+M109+M117+M121</f>
        <v>8236434</v>
      </c>
      <c r="N123" s="931"/>
      <c r="P123" s="930">
        <f>P17+P23+P27+P32+P36+P42+P56+P68+P74+P83+P98+P104+P109+P117+P121</f>
        <v>14594118</v>
      </c>
      <c r="Q123" s="931"/>
      <c r="S123" s="930">
        <f>S17+S23+S27+S32+S36+S42+S56+S68+S74+S83+S98+S104+S109+S117+S121</f>
        <v>0</v>
      </c>
      <c r="T123" s="931"/>
    </row>
    <row r="124" spans="1:21" s="458" customFormat="1" ht="3" customHeight="1" thickBot="1">
      <c r="C124" s="713"/>
      <c r="H124" s="538"/>
      <c r="I124" s="538"/>
      <c r="L124" s="721"/>
    </row>
    <row r="125" spans="1:21" s="458" customFormat="1" ht="13.9" customHeight="1" thickBot="1">
      <c r="B125" s="465" t="s">
        <v>3894</v>
      </c>
      <c r="D125" s="902">
        <f>IF(AND($T$155 = "Yes", 'Part IX A-Scoring Criteria'!$O$176 &gt; 0),'DCA Underwriting Assumptions'!$R$13, IF(AND('Part IV-Uses of Funds'!$T$156="Yes", 'Part IX A-Scoring Criteria'!$O$74&gt;0),'DCA Underwriting Assumptions'!$R$12, 'DCA Underwriting Assumptions'!$R$11))</f>
        <v>27201391</v>
      </c>
      <c r="E125" s="903"/>
      <c r="F125" s="461" t="s">
        <v>1037</v>
      </c>
      <c r="G125" s="932">
        <f>G123/'Part VI-Revenues &amp; Expenses'!$M$63</f>
        <v>137644.12935323382</v>
      </c>
      <c r="H125" s="933"/>
      <c r="I125" s="543"/>
      <c r="J125" s="465" t="s">
        <v>1038</v>
      </c>
      <c r="M125" s="932">
        <f>G123/'Part VI-Revenues &amp; Expenses'!$M$98</f>
        <v>257.30985286732016</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1228</v>
      </c>
      <c r="B128" s="408" t="s">
        <v>2144</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3134</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3"/>
      <c r="K131" s="1404"/>
      <c r="P131" s="1403"/>
      <c r="Q131" s="1404"/>
    </row>
    <row r="132" spans="2:17" s="458" customFormat="1" ht="13.9" customHeight="1">
      <c r="B132" s="721" t="s">
        <v>3254</v>
      </c>
      <c r="D132" s="721"/>
      <c r="E132" s="721"/>
      <c r="F132" s="721"/>
      <c r="G132" s="721"/>
      <c r="H132" s="721"/>
      <c r="I132" s="545"/>
      <c r="J132" s="1403"/>
      <c r="K132" s="1404"/>
      <c r="P132" s="1403"/>
      <c r="Q132" s="1404"/>
    </row>
    <row r="133" spans="2:17" s="458" customFormat="1" ht="13.9" customHeight="1">
      <c r="B133" s="721" t="s">
        <v>2916</v>
      </c>
      <c r="D133" s="721"/>
      <c r="E133" s="721"/>
      <c r="I133" s="545"/>
      <c r="J133" s="1403"/>
      <c r="K133" s="1404"/>
      <c r="P133" s="1403"/>
      <c r="Q133" s="1404"/>
    </row>
    <row r="134" spans="2:17" s="458" customFormat="1" ht="13.9" customHeight="1">
      <c r="B134" s="721" t="s">
        <v>2917</v>
      </c>
      <c r="D134" s="721"/>
      <c r="E134" s="721"/>
      <c r="I134" s="545"/>
      <c r="J134" s="1403"/>
      <c r="K134" s="1404"/>
      <c r="P134" s="1403"/>
      <c r="Q134" s="1404"/>
    </row>
    <row r="135" spans="2:17" s="458" customFormat="1" ht="13.9" customHeight="1">
      <c r="B135" s="721" t="s">
        <v>329</v>
      </c>
      <c r="D135" s="721"/>
      <c r="E135" s="721"/>
      <c r="I135" s="545"/>
      <c r="J135" s="1403"/>
      <c r="K135" s="1404"/>
      <c r="P135" s="1403">
        <v>3101420</v>
      </c>
      <c r="Q135" s="1404"/>
    </row>
    <row r="136" spans="2:17" s="458" customFormat="1" ht="13.9" customHeight="1" thickBot="1">
      <c r="B136" s="721" t="s">
        <v>2362</v>
      </c>
      <c r="C136" s="1396" t="s">
        <v>3658</v>
      </c>
      <c r="D136" s="1396"/>
      <c r="E136" s="1396"/>
      <c r="F136" s="1396"/>
      <c r="G136" s="1396"/>
      <c r="H136" s="1396"/>
      <c r="I136" s="1397"/>
      <c r="J136" s="1403"/>
      <c r="K136" s="1404"/>
      <c r="P136" s="1403"/>
      <c r="Q136" s="1404"/>
    </row>
    <row r="137" spans="2:17" s="458" customFormat="1" ht="13.9" customHeight="1" thickBot="1">
      <c r="B137" s="470" t="s">
        <v>2918</v>
      </c>
      <c r="C137" s="473"/>
      <c r="J137" s="860">
        <f>SUM(J131:K136)</f>
        <v>0</v>
      </c>
      <c r="K137" s="861"/>
      <c r="P137" s="860">
        <f>SUM(P131:Q136)</f>
        <v>3101420</v>
      </c>
      <c r="Q137" s="861"/>
    </row>
    <row r="138" spans="2:17" s="458" customFormat="1" ht="3" customHeight="1"/>
    <row r="139" spans="2:17" s="458" customFormat="1" ht="15" customHeight="1" thickBot="1">
      <c r="B139" s="461" t="s">
        <v>3486</v>
      </c>
    </row>
    <row r="140" spans="2:17" s="458" customFormat="1" ht="13.9" customHeight="1">
      <c r="B140" s="458" t="s">
        <v>2820</v>
      </c>
      <c r="J140" s="934">
        <f>J123</f>
        <v>0</v>
      </c>
      <c r="K140" s="935"/>
      <c r="M140" s="938">
        <f>M123</f>
        <v>8236434</v>
      </c>
      <c r="N140" s="939"/>
      <c r="P140" s="934">
        <f>P123</f>
        <v>14594118</v>
      </c>
      <c r="Q140" s="935"/>
    </row>
    <row r="141" spans="2:17" s="458" customFormat="1" ht="13.9" customHeight="1">
      <c r="B141" s="458" t="s">
        <v>3342</v>
      </c>
      <c r="J141" s="910">
        <f>J137</f>
        <v>0</v>
      </c>
      <c r="K141" s="927"/>
      <c r="M141" s="911"/>
      <c r="N141" s="911"/>
      <c r="P141" s="910">
        <f>P137</f>
        <v>3101420</v>
      </c>
      <c r="Q141" s="927"/>
    </row>
    <row r="142" spans="2:17" s="458" customFormat="1" ht="13.9" customHeight="1">
      <c r="B142" s="458" t="s">
        <v>3343</v>
      </c>
      <c r="J142" s="910">
        <f>J140-J141</f>
        <v>0</v>
      </c>
      <c r="K142" s="927"/>
      <c r="M142" s="910">
        <f>M140</f>
        <v>8236434</v>
      </c>
      <c r="N142" s="927"/>
      <c r="P142" s="910">
        <f>P140-P141</f>
        <v>11492698</v>
      </c>
      <c r="Q142" s="927"/>
    </row>
    <row r="143" spans="2:17" s="458" customFormat="1" ht="13.9" customHeight="1">
      <c r="B143" s="458" t="s">
        <v>2227</v>
      </c>
      <c r="G143" s="717" t="s">
        <v>2733</v>
      </c>
      <c r="H143" s="1405" t="s">
        <v>3994</v>
      </c>
      <c r="I143" s="1406"/>
      <c r="J143" s="1407"/>
      <c r="K143" s="1408"/>
      <c r="M143" s="937"/>
      <c r="N143" s="937"/>
      <c r="P143" s="1407">
        <v>1.3</v>
      </c>
      <c r="Q143" s="1408"/>
    </row>
    <row r="144" spans="2:17" s="458" customFormat="1" ht="13.9" customHeight="1">
      <c r="B144" s="458" t="s">
        <v>3148</v>
      </c>
      <c r="J144" s="910">
        <f>J142*J143</f>
        <v>0</v>
      </c>
      <c r="K144" s="927"/>
      <c r="M144" s="910">
        <f>+M142</f>
        <v>8236434</v>
      </c>
      <c r="N144" s="927"/>
      <c r="P144" s="910">
        <f>P142*P143</f>
        <v>14940507.4</v>
      </c>
      <c r="Q144" s="927"/>
    </row>
    <row r="145" spans="1:20" s="458" customFormat="1" ht="13.9" customHeight="1">
      <c r="B145" s="458" t="s">
        <v>3838</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3135</v>
      </c>
      <c r="J146" s="910">
        <f>J144*J145</f>
        <v>0</v>
      </c>
      <c r="K146" s="927"/>
      <c r="M146" s="910">
        <f>M144*M145</f>
        <v>8236434</v>
      </c>
      <c r="N146" s="927"/>
      <c r="P146" s="910">
        <f>P144*P145</f>
        <v>14940507.4</v>
      </c>
      <c r="Q146" s="927"/>
    </row>
    <row r="147" spans="1:20" s="458" customFormat="1" ht="13.9" customHeight="1">
      <c r="B147" s="458" t="s">
        <v>3136</v>
      </c>
      <c r="J147" s="1407"/>
      <c r="K147" s="1408"/>
      <c r="M147" s="1407">
        <v>3.3099999999999997E-2</v>
      </c>
      <c r="N147" s="1408"/>
      <c r="P147" s="1407">
        <v>0.09</v>
      </c>
      <c r="Q147" s="1408"/>
    </row>
    <row r="148" spans="1:20" s="458" customFormat="1" ht="13.9" customHeight="1" thickBot="1">
      <c r="B148" s="458" t="s">
        <v>3839</v>
      </c>
      <c r="J148" s="912">
        <f>J146*J147</f>
        <v>0</v>
      </c>
      <c r="K148" s="913"/>
      <c r="M148" s="912">
        <f>M146*M147</f>
        <v>272625.96539999999</v>
      </c>
      <c r="N148" s="913"/>
      <c r="P148" s="912">
        <f>P146*P147</f>
        <v>1344645.666</v>
      </c>
      <c r="Q148" s="913"/>
    </row>
    <row r="149" spans="1:20" s="458" customFormat="1" ht="13.9" customHeight="1" thickBot="1">
      <c r="B149" s="458" t="s">
        <v>2142</v>
      </c>
      <c r="J149" s="860">
        <f>J148+M148+P148</f>
        <v>1617271.6313999998</v>
      </c>
      <c r="K149" s="928"/>
      <c r="L149" s="928"/>
      <c r="M149" s="928"/>
      <c r="N149" s="928"/>
      <c r="O149" s="928"/>
      <c r="P149" s="928"/>
      <c r="Q149" s="861"/>
    </row>
    <row r="150" spans="1:20" s="458" customFormat="1" ht="6" customHeight="1" thickBot="1">
      <c r="B150" s="546"/>
      <c r="L150" s="547"/>
      <c r="M150" s="547"/>
      <c r="N150" s="547"/>
      <c r="O150" s="547"/>
    </row>
    <row r="151" spans="1:20" s="458" customFormat="1" ht="19.5" customHeight="1">
      <c r="A151" s="461" t="s">
        <v>1230</v>
      </c>
      <c r="B151" s="461" t="s">
        <v>2145</v>
      </c>
      <c r="I151" s="721"/>
      <c r="J151" s="925" t="s">
        <v>345</v>
      </c>
      <c r="K151" s="925"/>
      <c r="L151" s="925"/>
      <c r="M151" s="904" t="str">
        <f>IF(J153&gt;D125,"TDC exceeds PUCL!","")</f>
        <v>TDC exceeds PUCL!</v>
      </c>
      <c r="N151" s="905"/>
      <c r="O151" s="905"/>
      <c r="P151" s="905"/>
      <c r="Q151" s="905"/>
      <c r="R151" s="906"/>
      <c r="S151" s="917" t="s">
        <v>2649</v>
      </c>
      <c r="T151" s="918"/>
    </row>
    <row r="152" spans="1:20" s="458" customFormat="1" ht="15" customHeight="1">
      <c r="B152" s="461" t="s">
        <v>231</v>
      </c>
      <c r="I152" s="721"/>
      <c r="J152" s="942">
        <f>MIN(G123,D125)</f>
        <v>27201391</v>
      </c>
      <c r="K152" s="942"/>
      <c r="L152" s="942"/>
      <c r="M152" s="907" t="s">
        <v>3643</v>
      </c>
      <c r="N152" s="908"/>
      <c r="O152" s="908"/>
      <c r="P152" s="908"/>
      <c r="Q152" s="908"/>
      <c r="R152" s="909"/>
      <c r="S152" s="919"/>
      <c r="T152" s="920"/>
    </row>
    <row r="153" spans="1:20" s="458" customFormat="1" ht="30" customHeight="1">
      <c r="B153" s="458" t="s">
        <v>2648</v>
      </c>
      <c r="J153" s="1409">
        <v>27666470</v>
      </c>
      <c r="K153" s="1410"/>
      <c r="L153" s="1410"/>
      <c r="M153" s="907"/>
      <c r="N153" s="908"/>
      <c r="O153" s="908"/>
      <c r="P153" s="908"/>
      <c r="Q153" s="908"/>
      <c r="R153" s="909"/>
      <c r="S153" s="919"/>
      <c r="T153" s="920"/>
    </row>
    <row r="154" spans="1:20" s="458" customFormat="1" ht="24.75" customHeight="1">
      <c r="B154" s="458" t="s">
        <v>341</v>
      </c>
      <c r="J154" s="910">
        <f>'Part III A-Sources of Funds'!$H$49-'Part III A-Sources of Funds'!$H$37-'Part III A-Sources of Funds'!$H$40-'Part III A-Sources of Funds'!$H$41</f>
        <v>12110094</v>
      </c>
      <c r="K154" s="911"/>
      <c r="L154" s="911"/>
      <c r="M154" s="907"/>
      <c r="N154" s="908"/>
      <c r="O154" s="908"/>
      <c r="P154" s="908"/>
      <c r="Q154" s="908"/>
      <c r="R154" s="909"/>
      <c r="S154" s="685"/>
      <c r="T154" s="688" t="s">
        <v>344</v>
      </c>
    </row>
    <row r="155" spans="1:20" s="458" customFormat="1" ht="13.9" customHeight="1">
      <c r="B155" s="458" t="s">
        <v>3355</v>
      </c>
      <c r="J155" s="910">
        <f>+J153-J154</f>
        <v>15556376</v>
      </c>
      <c r="K155" s="911"/>
      <c r="L155" s="911"/>
      <c r="M155" s="924" t="s">
        <v>342</v>
      </c>
      <c r="N155" s="925"/>
      <c r="O155" s="925" t="s">
        <v>2651</v>
      </c>
      <c r="P155" s="925"/>
      <c r="Q155" s="925"/>
      <c r="R155" s="926"/>
      <c r="S155" s="686" t="s">
        <v>2650</v>
      </c>
      <c r="T155" s="1411" t="s">
        <v>3926</v>
      </c>
    </row>
    <row r="156" spans="1:20" s="458" customFormat="1" ht="13.9" customHeight="1" thickBot="1">
      <c r="B156" s="458" t="s">
        <v>1985</v>
      </c>
      <c r="J156" s="929" t="str">
        <f>"/ 10"</f>
        <v>/ 10</v>
      </c>
      <c r="K156" s="929"/>
      <c r="L156" s="929"/>
      <c r="M156" s="1412"/>
      <c r="N156" s="1413"/>
      <c r="O156" s="1414"/>
      <c r="P156" s="1414"/>
      <c r="Q156" s="1414"/>
      <c r="R156" s="1415"/>
      <c r="S156" s="687" t="s">
        <v>343</v>
      </c>
      <c r="T156" s="1416"/>
    </row>
    <row r="157" spans="1:20" s="458" customFormat="1" ht="13.9" customHeight="1">
      <c r="B157" s="458" t="s">
        <v>1986</v>
      </c>
      <c r="J157" s="910">
        <f>J155/10</f>
        <v>1555637.6</v>
      </c>
      <c r="K157" s="911"/>
      <c r="L157" s="927"/>
      <c r="M157" s="482"/>
      <c r="N157" s="797" t="s">
        <v>1987</v>
      </c>
      <c r="O157" s="797"/>
      <c r="Q157" s="797" t="s">
        <v>2829</v>
      </c>
      <c r="R157" s="797"/>
    </row>
    <row r="158" spans="1:20" s="458" customFormat="1" ht="13.9" customHeight="1" thickBot="1">
      <c r="B158" s="458" t="s">
        <v>2226</v>
      </c>
      <c r="J158" s="921">
        <f>N158+Q158</f>
        <v>1.1000000000000001</v>
      </c>
      <c r="K158" s="922"/>
      <c r="L158" s="923"/>
      <c r="M158" s="717" t="s">
        <v>1988</v>
      </c>
      <c r="N158" s="1417">
        <v>0.85</v>
      </c>
      <c r="O158" s="1418"/>
      <c r="P158" s="717" t="s">
        <v>944</v>
      </c>
      <c r="Q158" s="1417">
        <v>0.25</v>
      </c>
      <c r="R158" s="1418"/>
    </row>
    <row r="159" spans="1:20" s="458" customFormat="1" ht="13.9" customHeight="1" thickBot="1">
      <c r="B159" s="458" t="s">
        <v>2143</v>
      </c>
      <c r="J159" s="860">
        <f>IF(J158=0,"",J157/J158)</f>
        <v>1414216</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447</v>
      </c>
      <c r="J161" s="914">
        <f>+MIN(J149,J159,'DCA Underwriting Assumptions'!$R$6)</f>
        <v>950000</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448</v>
      </c>
      <c r="J163" s="1419">
        <v>1375000</v>
      </c>
      <c r="K163" s="1420"/>
      <c r="L163" s="1421"/>
      <c r="M163" s="549" t="str">
        <f>IF(J163&gt;J161,"ALLOCATION CANNOT EXCEED MAXIMUM - REVISE ALLOCATION!","")</f>
        <v>ALLOCATION CANNOT EXCEED MAXIMUM - REVISE ALLOCATION!</v>
      </c>
      <c r="N163" s="723"/>
      <c r="O163" s="723"/>
    </row>
    <row r="164" spans="1:20" s="458" customFormat="1" ht="9.6" customHeight="1">
      <c r="J164" s="548"/>
      <c r="K164" s="548"/>
      <c r="L164" s="548"/>
      <c r="M164" s="482"/>
      <c r="N164" s="723"/>
      <c r="O164" s="723"/>
    </row>
    <row r="165" spans="1:20" s="458" customFormat="1" ht="16.149999999999999" customHeight="1">
      <c r="A165" s="461" t="s">
        <v>2822</v>
      </c>
      <c r="B165" s="461" t="s">
        <v>449</v>
      </c>
      <c r="D165" s="482"/>
      <c r="E165" s="482"/>
      <c r="F165" s="464"/>
      <c r="J165" s="914">
        <f>+MIN(J161,J163)</f>
        <v>950000</v>
      </c>
      <c r="K165" s="915"/>
      <c r="L165" s="916"/>
      <c r="N165" s="1422"/>
      <c r="O165" s="1422"/>
      <c r="P165" s="1422"/>
      <c r="Q165" s="1422"/>
      <c r="R165" s="1422"/>
      <c r="S165" s="1422"/>
      <c r="T165" s="1422"/>
    </row>
    <row r="166" spans="1:20" ht="3" customHeight="1"/>
    <row r="167" spans="1:20" ht="6" customHeight="1"/>
    <row r="168" spans="1:20" ht="12" customHeight="1">
      <c r="A168" s="461" t="s">
        <v>2824</v>
      </c>
      <c r="B168" s="491" t="s">
        <v>878</v>
      </c>
      <c r="K168" s="461" t="s">
        <v>821</v>
      </c>
      <c r="L168" s="461" t="s">
        <v>89</v>
      </c>
    </row>
    <row r="169" spans="1:20" ht="76.5" customHeight="1">
      <c r="A169" s="1423" t="s">
        <v>4080</v>
      </c>
      <c r="B169" s="1424"/>
      <c r="C169" s="1424"/>
      <c r="D169" s="1424"/>
      <c r="E169" s="1424"/>
      <c r="F169" s="1424"/>
      <c r="G169" s="1424"/>
      <c r="H169" s="1424"/>
      <c r="I169" s="1424"/>
      <c r="J169" s="1425"/>
      <c r="K169" s="1426"/>
      <c r="L169" s="1424"/>
      <c r="M169" s="1424"/>
      <c r="N169" s="1424"/>
      <c r="O169" s="1424"/>
      <c r="P169" s="1424"/>
      <c r="Q169" s="1424"/>
      <c r="R169" s="1424"/>
      <c r="S169" s="1424"/>
      <c r="T169" s="1425"/>
    </row>
    <row r="170" spans="1:20" ht="256.5" customHeight="1">
      <c r="A170" s="1427" t="s">
        <v>4081</v>
      </c>
      <c r="B170" s="1428"/>
      <c r="C170" s="1428"/>
      <c r="D170" s="1428"/>
      <c r="E170" s="1428"/>
      <c r="F170" s="1428"/>
      <c r="G170" s="1428"/>
      <c r="H170" s="1428"/>
      <c r="I170" s="1428"/>
      <c r="J170" s="1429"/>
      <c r="K170" s="1430"/>
      <c r="L170" s="1428"/>
      <c r="M170" s="1428"/>
      <c r="N170" s="1428"/>
      <c r="O170" s="1428"/>
      <c r="P170" s="1428"/>
      <c r="Q170" s="1428"/>
      <c r="R170" s="1428"/>
      <c r="S170" s="1428"/>
      <c r="T170" s="1429"/>
    </row>
    <row r="171" spans="1:20" s="458" customFormat="1" ht="96" customHeight="1">
      <c r="A171" s="1427" t="s">
        <v>4071</v>
      </c>
      <c r="B171" s="1428"/>
      <c r="C171" s="1428"/>
      <c r="D171" s="1428"/>
      <c r="E171" s="1428"/>
      <c r="F171" s="1428"/>
      <c r="G171" s="1428"/>
      <c r="H171" s="1428"/>
      <c r="I171" s="1428"/>
      <c r="J171" s="1429"/>
      <c r="K171" s="1430"/>
      <c r="L171" s="1428"/>
      <c r="M171" s="1428"/>
      <c r="N171" s="1428"/>
      <c r="O171" s="1428"/>
      <c r="P171" s="1428"/>
      <c r="Q171" s="1428"/>
      <c r="R171" s="1428"/>
      <c r="S171" s="1428"/>
      <c r="T171" s="1429"/>
    </row>
    <row r="172" spans="1:20" ht="158.25" customHeight="1">
      <c r="A172" s="1431" t="s">
        <v>4082</v>
      </c>
      <c r="B172" s="1432"/>
      <c r="C172" s="1432"/>
      <c r="D172" s="1432"/>
      <c r="E172" s="1432"/>
      <c r="F172" s="1432"/>
      <c r="G172" s="1432"/>
      <c r="H172" s="1432"/>
      <c r="I172" s="1432"/>
      <c r="J172" s="1433"/>
      <c r="K172" s="1434"/>
      <c r="L172" s="1432"/>
      <c r="M172" s="1432"/>
      <c r="N172" s="1432"/>
      <c r="O172" s="1432"/>
      <c r="P172" s="1432"/>
      <c r="Q172" s="1432"/>
      <c r="R172" s="1432"/>
      <c r="S172" s="1432"/>
      <c r="T172" s="1433"/>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4" sqref="D24:E24"/>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2011-015 Briarcliff Summit Apartments , Atlanta, Fulton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805</v>
      </c>
      <c r="I3" s="741" t="str">
        <f>VLOOKUP('Part I-Project Information'!$J$25,'Part I-Project Information'!$C$183:$D$342,2)</f>
        <v>Middle</v>
      </c>
    </row>
    <row r="4" spans="1:20" s="9" customFormat="1"/>
    <row r="5" spans="1:20" s="9" customFormat="1">
      <c r="A5" s="16" t="s">
        <v>949</v>
      </c>
      <c r="B5" s="16" t="s">
        <v>3350</v>
      </c>
      <c r="F5" s="9" t="s">
        <v>3804</v>
      </c>
      <c r="I5" s="1362" t="s">
        <v>3987</v>
      </c>
      <c r="J5" s="1363"/>
      <c r="K5" s="1363"/>
      <c r="L5" s="1363"/>
      <c r="M5" s="1364"/>
    </row>
    <row r="6" spans="1:20" s="9" customFormat="1" ht="13.15" customHeight="1">
      <c r="A6" s="16"/>
      <c r="F6" s="9" t="s">
        <v>971</v>
      </c>
      <c r="H6" s="31"/>
      <c r="I6" s="1365">
        <v>40360</v>
      </c>
      <c r="J6" s="1366"/>
      <c r="K6" s="77" t="s">
        <v>832</v>
      </c>
      <c r="L6" s="1362" t="s">
        <v>3988</v>
      </c>
      <c r="M6" s="1364"/>
    </row>
    <row r="7" spans="1:20" s="9" customFormat="1" ht="6" customHeight="1">
      <c r="A7" s="16"/>
    </row>
    <row r="8" spans="1:20" s="16" customFormat="1">
      <c r="B8" s="337"/>
      <c r="C8" s="337"/>
      <c r="D8" s="337"/>
      <c r="E8" s="337"/>
      <c r="F8" s="962" t="s">
        <v>941</v>
      </c>
      <c r="G8" s="962"/>
      <c r="I8" s="961" t="s">
        <v>258</v>
      </c>
      <c r="J8" s="961"/>
      <c r="K8" s="961"/>
      <c r="L8" s="961"/>
      <c r="M8" s="961"/>
    </row>
    <row r="9" spans="1:20" s="16" customFormat="1">
      <c r="B9" s="337" t="s">
        <v>1379</v>
      </c>
      <c r="D9" s="337" t="s">
        <v>2360</v>
      </c>
      <c r="F9" s="736" t="s">
        <v>977</v>
      </c>
      <c r="G9" s="736" t="s">
        <v>2902</v>
      </c>
      <c r="I9" s="338">
        <v>0</v>
      </c>
      <c r="J9" s="339">
        <v>1</v>
      </c>
      <c r="K9" s="339">
        <v>2</v>
      </c>
      <c r="L9" s="339">
        <v>3</v>
      </c>
      <c r="M9" s="339">
        <v>4</v>
      </c>
    </row>
    <row r="10" spans="1:20" s="9" customFormat="1">
      <c r="B10" s="340" t="s">
        <v>2904</v>
      </c>
      <c r="C10" s="341"/>
      <c r="D10" s="1367" t="s">
        <v>2070</v>
      </c>
      <c r="E10" s="1368"/>
      <c r="F10" s="1369"/>
      <c r="G10" s="1369" t="s">
        <v>651</v>
      </c>
      <c r="H10" s="342"/>
      <c r="I10" s="1370">
        <v>0</v>
      </c>
      <c r="J10" s="1370">
        <v>0</v>
      </c>
      <c r="K10" s="1370">
        <v>0</v>
      </c>
      <c r="L10" s="1370"/>
      <c r="M10" s="1370"/>
    </row>
    <row r="11" spans="1:20" s="9" customFormat="1">
      <c r="B11" s="343" t="s">
        <v>686</v>
      </c>
      <c r="C11" s="344"/>
      <c r="D11" s="343" t="s">
        <v>2356</v>
      </c>
      <c r="E11" s="344"/>
      <c r="F11" s="1371" t="s">
        <v>651</v>
      </c>
      <c r="G11" s="1371"/>
      <c r="H11" s="345"/>
      <c r="I11" s="1372">
        <v>15</v>
      </c>
      <c r="J11" s="1372">
        <v>15</v>
      </c>
      <c r="K11" s="1372">
        <v>26</v>
      </c>
      <c r="L11" s="1373"/>
      <c r="M11" s="1373"/>
    </row>
    <row r="12" spans="1:20" s="9" customFormat="1">
      <c r="B12" s="343" t="s">
        <v>2357</v>
      </c>
      <c r="C12" s="344"/>
      <c r="D12" s="1374" t="s">
        <v>2356</v>
      </c>
      <c r="E12" s="1375"/>
      <c r="F12" s="1371" t="s">
        <v>651</v>
      </c>
      <c r="G12" s="1371"/>
      <c r="H12" s="345"/>
      <c r="I12" s="1372">
        <v>8</v>
      </c>
      <c r="J12" s="1372">
        <v>8</v>
      </c>
      <c r="K12" s="1372">
        <v>10</v>
      </c>
      <c r="L12" s="1373"/>
      <c r="M12" s="1373"/>
    </row>
    <row r="13" spans="1:20" s="9" customFormat="1">
      <c r="B13" s="343" t="s">
        <v>2358</v>
      </c>
      <c r="C13" s="344"/>
      <c r="D13" s="1374" t="s">
        <v>2070</v>
      </c>
      <c r="E13" s="1375"/>
      <c r="F13" s="1371"/>
      <c r="G13" s="1371" t="s">
        <v>651</v>
      </c>
      <c r="H13" s="345"/>
      <c r="I13" s="1372">
        <v>0</v>
      </c>
      <c r="J13" s="1372">
        <v>0</v>
      </c>
      <c r="K13" s="1372">
        <v>0</v>
      </c>
      <c r="L13" s="1373"/>
      <c r="M13" s="1373"/>
    </row>
    <row r="14" spans="1:20" s="9" customFormat="1">
      <c r="B14" s="343" t="s">
        <v>2359</v>
      </c>
      <c r="C14" s="344"/>
      <c r="D14" s="343" t="s">
        <v>2356</v>
      </c>
      <c r="E14" s="346"/>
      <c r="F14" s="1371" t="s">
        <v>651</v>
      </c>
      <c r="G14" s="1371"/>
      <c r="H14" s="345"/>
      <c r="I14" s="1372">
        <v>33</v>
      </c>
      <c r="J14" s="1372">
        <v>33</v>
      </c>
      <c r="K14" s="1376" t="s">
        <v>4103</v>
      </c>
      <c r="L14" s="1373"/>
      <c r="M14" s="1373"/>
    </row>
    <row r="15" spans="1:20" s="9" customFormat="1">
      <c r="B15" s="343" t="s">
        <v>2071</v>
      </c>
      <c r="C15" s="344"/>
      <c r="D15" s="343" t="s">
        <v>3349</v>
      </c>
      <c r="E15" s="1377" t="s">
        <v>3925</v>
      </c>
      <c r="F15" s="1371"/>
      <c r="G15" s="1371" t="s">
        <v>651</v>
      </c>
      <c r="H15" s="345"/>
      <c r="I15" s="1372">
        <v>0</v>
      </c>
      <c r="J15" s="1372">
        <v>0</v>
      </c>
      <c r="K15" s="1372">
        <v>0</v>
      </c>
      <c r="L15" s="1373"/>
      <c r="M15" s="1373"/>
    </row>
    <row r="16" spans="1:20" s="9" customFormat="1">
      <c r="B16" s="347" t="s">
        <v>2903</v>
      </c>
      <c r="C16" s="348"/>
      <c r="D16" s="347"/>
      <c r="E16" s="315"/>
      <c r="F16" s="1378"/>
      <c r="G16" s="1378"/>
      <c r="H16" s="349"/>
      <c r="I16" s="1379"/>
      <c r="J16" s="1379"/>
      <c r="K16" s="1379"/>
      <c r="L16" s="1380"/>
      <c r="M16" s="1380"/>
    </row>
    <row r="17" spans="1:19" s="9" customFormat="1">
      <c r="B17" s="337" t="s">
        <v>1639</v>
      </c>
      <c r="D17" s="31"/>
      <c r="E17" s="31"/>
      <c r="F17" s="111"/>
      <c r="G17" s="111"/>
      <c r="I17" s="736">
        <f>SUM(I10:I16)</f>
        <v>56</v>
      </c>
      <c r="J17" s="736">
        <f>SUM(J10:J16)</f>
        <v>56</v>
      </c>
      <c r="K17" s="736">
        <f>SUM(K10:K16)</f>
        <v>36</v>
      </c>
      <c r="L17" s="736">
        <f>SUM(L10:L16)</f>
        <v>0</v>
      </c>
      <c r="M17" s="736">
        <f>SUM(M10:M16)</f>
        <v>0</v>
      </c>
    </row>
    <row r="18" spans="1:19" s="9" customFormat="1" ht="11.25" customHeight="1">
      <c r="M18" s="31"/>
      <c r="N18" s="31"/>
      <c r="O18" s="31"/>
      <c r="P18" s="31"/>
      <c r="Q18" s="31"/>
      <c r="R18" s="31"/>
      <c r="S18" s="31"/>
    </row>
    <row r="19" spans="1:19" s="9" customFormat="1">
      <c r="A19" s="16" t="s">
        <v>1228</v>
      </c>
      <c r="B19" s="16" t="s">
        <v>3351</v>
      </c>
      <c r="F19" s="9" t="s">
        <v>3804</v>
      </c>
      <c r="I19" s="1381"/>
      <c r="J19" s="1363"/>
      <c r="K19" s="1363"/>
      <c r="L19" s="1363"/>
      <c r="M19" s="1364"/>
    </row>
    <row r="20" spans="1:19" s="9" customFormat="1" ht="13.15" customHeight="1">
      <c r="A20" s="16"/>
      <c r="B20" s="16"/>
      <c r="F20" s="9" t="s">
        <v>971</v>
      </c>
      <c r="H20" s="31"/>
      <c r="I20" s="1365"/>
      <c r="J20" s="1366"/>
      <c r="K20" s="77" t="s">
        <v>832</v>
      </c>
      <c r="L20" s="1381"/>
      <c r="M20" s="1364"/>
    </row>
    <row r="21" spans="1:19" s="9" customFormat="1" ht="6" customHeight="1">
      <c r="A21" s="16"/>
    </row>
    <row r="22" spans="1:19" s="16" customFormat="1">
      <c r="B22" s="337"/>
      <c r="C22" s="337"/>
      <c r="D22" s="337"/>
      <c r="E22" s="337"/>
      <c r="F22" s="962" t="s">
        <v>941</v>
      </c>
      <c r="G22" s="962"/>
      <c r="I22" s="961" t="s">
        <v>258</v>
      </c>
      <c r="J22" s="961"/>
      <c r="K22" s="961"/>
      <c r="L22" s="961"/>
      <c r="M22" s="961"/>
    </row>
    <row r="23" spans="1:19" s="16" customFormat="1">
      <c r="B23" s="337" t="s">
        <v>1379</v>
      </c>
      <c r="D23" s="337" t="s">
        <v>2360</v>
      </c>
      <c r="F23" s="736" t="s">
        <v>977</v>
      </c>
      <c r="G23" s="736" t="s">
        <v>2902</v>
      </c>
      <c r="I23" s="338">
        <v>0</v>
      </c>
      <c r="J23" s="339">
        <v>1</v>
      </c>
      <c r="K23" s="339">
        <v>2</v>
      </c>
      <c r="L23" s="339">
        <v>3</v>
      </c>
      <c r="M23" s="339">
        <v>4</v>
      </c>
    </row>
    <row r="24" spans="1:19" s="9" customFormat="1">
      <c r="B24" s="340" t="s">
        <v>2904</v>
      </c>
      <c r="C24" s="341"/>
      <c r="D24" s="1367" t="s">
        <v>2860</v>
      </c>
      <c r="E24" s="1368"/>
      <c r="F24" s="1369"/>
      <c r="G24" s="1369"/>
      <c r="H24" s="342"/>
      <c r="I24" s="1370"/>
      <c r="J24" s="1370"/>
      <c r="K24" s="1370"/>
      <c r="L24" s="1370"/>
      <c r="M24" s="1370"/>
    </row>
    <row r="25" spans="1:19" s="9" customFormat="1">
      <c r="B25" s="343" t="s">
        <v>686</v>
      </c>
      <c r="C25" s="344"/>
      <c r="D25" s="343" t="s">
        <v>2356</v>
      </c>
      <c r="E25" s="344"/>
      <c r="F25" s="1371"/>
      <c r="G25" s="1371"/>
      <c r="H25" s="345"/>
      <c r="I25" s="1372"/>
      <c r="J25" s="1372"/>
      <c r="K25" s="1372"/>
      <c r="L25" s="1373"/>
      <c r="M25" s="1373"/>
    </row>
    <row r="26" spans="1:19" s="9" customFormat="1">
      <c r="B26" s="343" t="s">
        <v>2357</v>
      </c>
      <c r="C26" s="344"/>
      <c r="D26" s="1374" t="s">
        <v>2860</v>
      </c>
      <c r="E26" s="1375"/>
      <c r="F26" s="1371"/>
      <c r="G26" s="1371"/>
      <c r="H26" s="345"/>
      <c r="I26" s="1372"/>
      <c r="J26" s="1372"/>
      <c r="K26" s="1372"/>
      <c r="L26" s="1373"/>
      <c r="M26" s="1373"/>
    </row>
    <row r="27" spans="1:19" s="9" customFormat="1">
      <c r="B27" s="343" t="s">
        <v>2358</v>
      </c>
      <c r="C27" s="344"/>
      <c r="D27" s="1374" t="s">
        <v>2860</v>
      </c>
      <c r="E27" s="1375"/>
      <c r="F27" s="1371"/>
      <c r="G27" s="1371"/>
      <c r="H27" s="345"/>
      <c r="I27" s="1372"/>
      <c r="J27" s="1372"/>
      <c r="K27" s="1372"/>
      <c r="L27" s="1373"/>
      <c r="M27" s="1373"/>
    </row>
    <row r="28" spans="1:19" s="9" customFormat="1">
      <c r="B28" s="343" t="s">
        <v>2359</v>
      </c>
      <c r="C28" s="344"/>
      <c r="D28" s="343" t="s">
        <v>2356</v>
      </c>
      <c r="E28" s="346"/>
      <c r="F28" s="1371"/>
      <c r="G28" s="1371"/>
      <c r="H28" s="345"/>
      <c r="I28" s="1372"/>
      <c r="J28" s="1372"/>
      <c r="K28" s="1372"/>
      <c r="L28" s="1373"/>
      <c r="M28" s="1373"/>
    </row>
    <row r="29" spans="1:19" s="9" customFormat="1">
      <c r="B29" s="343" t="s">
        <v>2071</v>
      </c>
      <c r="C29" s="344"/>
      <c r="D29" s="343" t="s">
        <v>3349</v>
      </c>
      <c r="E29" s="1377" t="s">
        <v>259</v>
      </c>
      <c r="F29" s="1371"/>
      <c r="G29" s="1371"/>
      <c r="H29" s="345"/>
      <c r="I29" s="1372"/>
      <c r="J29" s="1372"/>
      <c r="K29" s="1372"/>
      <c r="L29" s="1373"/>
      <c r="M29" s="1373"/>
    </row>
    <row r="30" spans="1:19" s="9" customFormat="1">
      <c r="B30" s="347" t="s">
        <v>2903</v>
      </c>
      <c r="C30" s="348"/>
      <c r="D30" s="347"/>
      <c r="E30" s="315"/>
      <c r="F30" s="1378"/>
      <c r="G30" s="1378"/>
      <c r="H30" s="349"/>
      <c r="I30" s="1379"/>
      <c r="J30" s="1379"/>
      <c r="K30" s="1379"/>
      <c r="L30" s="1380"/>
      <c r="M30" s="1380"/>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82" t="s">
        <v>4055</v>
      </c>
      <c r="C36" s="1383"/>
      <c r="D36" s="1383"/>
      <c r="E36" s="1383"/>
      <c r="F36" s="1383"/>
      <c r="G36" s="1383"/>
      <c r="H36" s="1383"/>
      <c r="I36" s="1383"/>
      <c r="J36" s="1383"/>
      <c r="K36" s="1383"/>
      <c r="L36" s="1383"/>
      <c r="M36" s="1384"/>
      <c r="N36" s="31"/>
      <c r="O36" s="31"/>
      <c r="P36" s="31"/>
      <c r="Q36" s="31"/>
      <c r="R36" s="31"/>
      <c r="S36" s="31"/>
    </row>
    <row r="37" spans="1:19" s="9" customFormat="1" ht="12" customHeight="1">
      <c r="B37" s="1385" t="s">
        <v>4056</v>
      </c>
      <c r="C37" s="1386"/>
      <c r="D37" s="1386"/>
      <c r="E37" s="1386"/>
      <c r="F37" s="1386"/>
      <c r="G37" s="1386"/>
      <c r="H37" s="1386"/>
      <c r="I37" s="1386"/>
      <c r="J37" s="1386"/>
      <c r="K37" s="1386"/>
      <c r="L37" s="1386"/>
      <c r="M37" s="1387"/>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88"/>
      <c r="C40" s="1389"/>
      <c r="D40" s="1389"/>
      <c r="E40" s="1389"/>
      <c r="F40" s="1389"/>
      <c r="G40" s="1389"/>
      <c r="H40" s="1389"/>
      <c r="I40" s="1389"/>
      <c r="J40" s="1389"/>
      <c r="K40" s="1389"/>
      <c r="L40" s="1389"/>
      <c r="M40" s="1390"/>
      <c r="N40" s="31"/>
      <c r="O40" s="31"/>
      <c r="P40" s="31"/>
      <c r="Q40" s="31"/>
      <c r="R40" s="31"/>
      <c r="S40" s="31"/>
    </row>
    <row r="41" spans="1:19" s="9" customFormat="1" ht="12" customHeight="1">
      <c r="B41" s="1391"/>
      <c r="C41" s="1392"/>
      <c r="D41" s="1392"/>
      <c r="E41" s="1392"/>
      <c r="F41" s="1392"/>
      <c r="G41" s="1392"/>
      <c r="H41" s="1392"/>
      <c r="I41" s="1392"/>
      <c r="J41" s="1392"/>
      <c r="K41" s="1392"/>
      <c r="L41" s="1392"/>
      <c r="M41" s="1393"/>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2011-06-22T18:29:14Z</cp:lastPrinted>
  <dcterms:created xsi:type="dcterms:W3CDTF">2005-09-15T20:51:37Z</dcterms:created>
  <dcterms:modified xsi:type="dcterms:W3CDTF">2011-08-10T15:35:58Z</dcterms:modified>
</cp:coreProperties>
</file>